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COCVAP\SELESC\ESTIMATIVA CUSTOS DE MÃO DE OBRA\SINFRA\Operação e manutenção ar condicionado 00200.006886_2017-03\"/>
    </mc:Choice>
  </mc:AlternateContent>
  <bookViews>
    <workbookView xWindow="0" yWindow="0" windowWidth="21600" windowHeight="9735"/>
  </bookViews>
  <sheets>
    <sheet name="Adicional Noturno " sheetId="16" r:id="rId1"/>
    <sheet name="Uniformes-EPIs" sheetId="31" r:id="rId2"/>
    <sheet name="Item 1" sheetId="1" r:id="rId3"/>
    <sheet name="Item 2" sheetId="17" r:id="rId4"/>
    <sheet name="Item 3" sheetId="18" r:id="rId5"/>
    <sheet name="Item 4" sheetId="20" r:id="rId6"/>
    <sheet name="Item 5" sheetId="21" r:id="rId7"/>
    <sheet name="Item 6" sheetId="22" r:id="rId8"/>
    <sheet name="Item 7" sheetId="23" r:id="rId9"/>
    <sheet name="Item 8" sheetId="24" r:id="rId10"/>
    <sheet name="Item 9" sheetId="25" r:id="rId11"/>
    <sheet name="Item 10" sheetId="26" r:id="rId12"/>
    <sheet name="Item 11" sheetId="27" r:id="rId13"/>
    <sheet name="Item 12" sheetId="28" r:id="rId14"/>
    <sheet name="Item 13" sheetId="29" r:id="rId15"/>
    <sheet name="Item 14" sheetId="30" r:id="rId16"/>
    <sheet name="Resumo" sheetId="14" r:id="rId17"/>
    <sheet name="RESUMO GERAL" sheetId="32" r:id="rId18"/>
    <sheet name="COMPARATIVO CT20140042" sheetId="15" r:id="rId19"/>
  </sheets>
  <externalReferences>
    <externalReference r:id="rId20"/>
    <externalReference r:id="rId21"/>
  </externalReferences>
  <definedNames>
    <definedName name="_xlnm._FilterDatabase" localSheetId="1" hidden="1">'Uniformes-EPIs'!$A$1:$AX$203</definedName>
    <definedName name="aaaa" localSheetId="11">#REF!</definedName>
    <definedName name="aaaa" localSheetId="12">#REF!</definedName>
    <definedName name="aaaa" localSheetId="13">#REF!</definedName>
    <definedName name="aaaa" localSheetId="14">#REF!</definedName>
    <definedName name="aaaa" localSheetId="15">#REF!</definedName>
    <definedName name="aaaa" localSheetId="3">#REF!</definedName>
    <definedName name="aaaa" localSheetId="4">#REF!</definedName>
    <definedName name="aaaa" localSheetId="5">#REF!</definedName>
    <definedName name="aaaa" localSheetId="6">#REF!</definedName>
    <definedName name="aaaa" localSheetId="7">#REF!</definedName>
    <definedName name="aaaa" localSheetId="8">#REF!</definedName>
    <definedName name="aaaa" localSheetId="9">#REF!</definedName>
    <definedName name="aaaa" localSheetId="10">#REF!</definedName>
    <definedName name="aaaa">#REF!</definedName>
    <definedName name="_xlnm.Print_Area" localSheetId="0">'Adicional Noturno '!$A$1:$F$17</definedName>
    <definedName name="_xlnm.Print_Area" localSheetId="2">'Item 1'!$A$1:$D$94</definedName>
    <definedName name="_xlnm.Print_Area" localSheetId="11">'Item 10'!$A$1:$D$94</definedName>
    <definedName name="_xlnm.Print_Area" localSheetId="12">'Item 11'!$A$1:$D$94</definedName>
    <definedName name="_xlnm.Print_Area" localSheetId="13">'Item 12'!$A$1:$D$94</definedName>
    <definedName name="_xlnm.Print_Area" localSheetId="14">'Item 13'!$A$1:$D$94</definedName>
    <definedName name="_xlnm.Print_Area" localSheetId="15">'Item 14'!$A$1:$D$94</definedName>
    <definedName name="_xlnm.Print_Area" localSheetId="3">'Item 2'!$A$1:$D$94</definedName>
    <definedName name="_xlnm.Print_Area" localSheetId="4">'Item 3'!$A$1:$D$94</definedName>
    <definedName name="_xlnm.Print_Area" localSheetId="5">'Item 4'!$A$1:$D$94</definedName>
    <definedName name="_xlnm.Print_Area" localSheetId="6">'Item 5'!$A$1:$D$94</definedName>
    <definedName name="_xlnm.Print_Area" localSheetId="7">'Item 6'!$A$1:$D$94</definedName>
    <definedName name="_xlnm.Print_Area" localSheetId="8">'Item 7'!$A$1:$D$94</definedName>
    <definedName name="_xlnm.Print_Area" localSheetId="9">'Item 8'!$A$1:$D$94</definedName>
    <definedName name="_xlnm.Print_Area" localSheetId="10">'Item 9'!$A$1:$D$94</definedName>
    <definedName name="ARM01_02">#REF!</definedName>
    <definedName name="ARM1_COMP">#REF!</definedName>
    <definedName name="ARM2_COMP">#REF!</definedName>
    <definedName name="capt01">#REF!</definedName>
    <definedName name="CECWC" localSheetId="11">#REF!</definedName>
    <definedName name="CECWC" localSheetId="12">#REF!</definedName>
    <definedName name="CECWC" localSheetId="13">#REF!</definedName>
    <definedName name="CECWC" localSheetId="14">#REF!</definedName>
    <definedName name="CECWC" localSheetId="15">#REF!</definedName>
    <definedName name="CECWC" localSheetId="3">#REF!</definedName>
    <definedName name="CECWC" localSheetId="4">#REF!</definedName>
    <definedName name="CECWC" localSheetId="5">#REF!</definedName>
    <definedName name="CECWC" localSheetId="6">#REF!</definedName>
    <definedName name="CECWC" localSheetId="7">#REF!</definedName>
    <definedName name="CECWC" localSheetId="8">#REF!</definedName>
    <definedName name="CECWC" localSheetId="9">#REF!</definedName>
    <definedName name="CECWC" localSheetId="10">#REF!</definedName>
    <definedName name="CECWC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D" localSheetId="11">#REF!</definedName>
    <definedName name="D" localSheetId="12">#REF!</definedName>
    <definedName name="D" localSheetId="13">#REF!</definedName>
    <definedName name="D" localSheetId="14">#REF!</definedName>
    <definedName name="D" localSheetId="15">#REF!</definedName>
    <definedName name="D" localSheetId="3">#REF!</definedName>
    <definedName name="D" localSheetId="4">#REF!</definedName>
    <definedName name="D" localSheetId="5">#REF!</definedName>
    <definedName name="D" localSheetId="6">#REF!</definedName>
    <definedName name="D" localSheetId="7">#REF!</definedName>
    <definedName name="D" localSheetId="8">#REF!</definedName>
    <definedName name="D" localSheetId="9">#REF!</definedName>
    <definedName name="D" localSheetId="10">#REF!</definedName>
    <definedName name="D">#REF!</definedName>
    <definedName name="DD" localSheetId="11">#REF!</definedName>
    <definedName name="DD" localSheetId="12">#REF!</definedName>
    <definedName name="DD" localSheetId="13">#REF!</definedName>
    <definedName name="DD" localSheetId="14">#REF!</definedName>
    <definedName name="DD" localSheetId="15">#REF!</definedName>
    <definedName name="DD" localSheetId="3">#REF!</definedName>
    <definedName name="DD" localSheetId="4">#REF!</definedName>
    <definedName name="DD" localSheetId="5">#REF!</definedName>
    <definedName name="DD" localSheetId="6">#REF!</definedName>
    <definedName name="DD" localSheetId="7">#REF!</definedName>
    <definedName name="DD" localSheetId="8">#REF!</definedName>
    <definedName name="DD" localSheetId="9">#REF!</definedName>
    <definedName name="DD" localSheetId="10">#REF!</definedName>
    <definedName name="DD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SC01_">#REF!</definedName>
    <definedName name="ESC02_">#REF!</definedName>
    <definedName name="ESC03_">#REF!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Jan_94" localSheetId="11">#REF!</definedName>
    <definedName name="Jan_94" localSheetId="12">#REF!</definedName>
    <definedName name="Jan_94" localSheetId="13">#REF!</definedName>
    <definedName name="Jan_94" localSheetId="14">#REF!</definedName>
    <definedName name="Jan_94" localSheetId="15">#REF!</definedName>
    <definedName name="Jan_94" localSheetId="3">#REF!</definedName>
    <definedName name="Jan_94" localSheetId="4">#REF!</definedName>
    <definedName name="Jan_94" localSheetId="5">#REF!</definedName>
    <definedName name="Jan_94" localSheetId="6">#REF!</definedName>
    <definedName name="Jan_94" localSheetId="7">#REF!</definedName>
    <definedName name="Jan_94" localSheetId="8">#REF!</definedName>
    <definedName name="Jan_94" localSheetId="9">#REF!</definedName>
    <definedName name="Jan_94" localSheetId="10">#REF!</definedName>
    <definedName name="Jan_94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int_Area" localSheetId="18">'COMPARATIVO CT20140042'!$A$2:$I$38</definedName>
    <definedName name="Print_Area" localSheetId="2">'Item 1'!$A$1:$D$95</definedName>
    <definedName name="Print_Area" localSheetId="11">'Item 10'!$A$1:$D$95</definedName>
    <definedName name="Print_Area" localSheetId="12">'Item 11'!$A$1:$D$95</definedName>
    <definedName name="Print_Area" localSheetId="13">'Item 12'!$A$1:$D$95</definedName>
    <definedName name="Print_Area" localSheetId="14">'Item 13'!$A$1:$D$95</definedName>
    <definedName name="Print_Area" localSheetId="15">'Item 14'!$A$1:$D$95</definedName>
    <definedName name="Print_Area" localSheetId="3">'Item 2'!$A$1:$D$95</definedName>
    <definedName name="Print_Area" localSheetId="4">'Item 3'!$A$1:$D$95</definedName>
    <definedName name="Print_Area" localSheetId="5">'Item 4'!$A$1:$D$95</definedName>
    <definedName name="Print_Area" localSheetId="6">'Item 5'!$A$1:$D$95</definedName>
    <definedName name="Print_Area" localSheetId="7">'Item 6'!$A$1:$D$95</definedName>
    <definedName name="Print_Area" localSheetId="8">'Item 7'!$A$1:$D$95</definedName>
    <definedName name="Print_Area" localSheetId="9">'Item 8'!$A$1:$D$95</definedName>
    <definedName name="Print_Area" localSheetId="10">'Item 9'!$A$1:$D$95</definedName>
    <definedName name="Print_Area" localSheetId="16">Resumo!$A$2:$I$37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alário" localSheetId="11">#REF!</definedName>
    <definedName name="Salário" localSheetId="12">#REF!</definedName>
    <definedName name="Salário" localSheetId="13">#REF!</definedName>
    <definedName name="Salário" localSheetId="14">#REF!</definedName>
    <definedName name="Salário" localSheetId="15">#REF!</definedName>
    <definedName name="Salário" localSheetId="3">#REF!</definedName>
    <definedName name="Salário" localSheetId="4">#REF!</definedName>
    <definedName name="Salário" localSheetId="5">#REF!</definedName>
    <definedName name="Salário" localSheetId="6">#REF!</definedName>
    <definedName name="Salário" localSheetId="7">#REF!</definedName>
    <definedName name="Salário" localSheetId="8">#REF!</definedName>
    <definedName name="Salário" localSheetId="9">#REF!</definedName>
    <definedName name="Salário" localSheetId="10">#REF!</definedName>
    <definedName name="Salário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Tabela_Inpc" localSheetId="11">#REF!</definedName>
    <definedName name="Tabela_Inpc" localSheetId="12">#REF!</definedName>
    <definedName name="Tabela_Inpc" localSheetId="13">#REF!</definedName>
    <definedName name="Tabela_Inpc" localSheetId="14">#REF!</definedName>
    <definedName name="Tabela_Inpc" localSheetId="15">#REF!</definedName>
    <definedName name="Tabela_Inpc" localSheetId="3">#REF!</definedName>
    <definedName name="Tabela_Inpc" localSheetId="4">#REF!</definedName>
    <definedName name="Tabela_Inpc" localSheetId="5">#REF!</definedName>
    <definedName name="Tabela_Inpc" localSheetId="6">#REF!</definedName>
    <definedName name="Tabela_Inpc" localSheetId="7">#REF!</definedName>
    <definedName name="Tabela_Inpc" localSheetId="8">#REF!</definedName>
    <definedName name="Tabela_Inpc" localSheetId="9">#REF!</definedName>
    <definedName name="Tabela_Inpc" localSheetId="10">#REF!</definedName>
    <definedName name="Tabela_Inpc">#REF!</definedName>
    <definedName name="v" localSheetId="11">#REF!</definedName>
    <definedName name="v" localSheetId="12">#REF!</definedName>
    <definedName name="v" localSheetId="13">#REF!</definedName>
    <definedName name="v" localSheetId="14">#REF!</definedName>
    <definedName name="v" localSheetId="15">#REF!</definedName>
    <definedName name="v" localSheetId="3">#REF!</definedName>
    <definedName name="v" localSheetId="4">#REF!</definedName>
    <definedName name="v" localSheetId="5">#REF!</definedName>
    <definedName name="v" localSheetId="6">#REF!</definedName>
    <definedName name="v" localSheetId="7">#REF!</definedName>
    <definedName name="v" localSheetId="8">#REF!</definedName>
    <definedName name="v" localSheetId="9">#REF!</definedName>
    <definedName name="v" localSheetId="10">#REF!</definedName>
    <definedName name="v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  <definedName name="X" localSheetId="11">#REF!</definedName>
    <definedName name="X" localSheetId="12">#REF!</definedName>
    <definedName name="X" localSheetId="13">#REF!</definedName>
    <definedName name="X" localSheetId="14">#REF!</definedName>
    <definedName name="X" localSheetId="15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 localSheetId="8">#REF!</definedName>
    <definedName name="X" localSheetId="9">#REF!</definedName>
    <definedName name="X" localSheetId="1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32" l="1"/>
  <c r="I13" i="32"/>
  <c r="H8" i="32"/>
  <c r="H9" i="32"/>
  <c r="H10" i="32"/>
  <c r="H11" i="32"/>
  <c r="H12" i="32"/>
  <c r="H7" i="32"/>
  <c r="I11" i="32" l="1"/>
  <c r="J12" i="32" l="1"/>
  <c r="J9" i="32"/>
  <c r="J8" i="32"/>
  <c r="D87" i="17" l="1"/>
  <c r="D88" i="17"/>
  <c r="D87" i="20"/>
  <c r="D88" i="20"/>
  <c r="D87" i="21"/>
  <c r="D88" i="21"/>
  <c r="D87" i="22"/>
  <c r="D88" i="22"/>
  <c r="D87" i="27"/>
  <c r="D88" i="27"/>
  <c r="D87" i="1"/>
  <c r="D88" i="1"/>
  <c r="D7" i="23" l="1"/>
  <c r="D7" i="22"/>
  <c r="D7" i="28"/>
  <c r="D7" i="27"/>
  <c r="D7" i="30"/>
  <c r="D7" i="29"/>
  <c r="D7" i="26"/>
  <c r="D7" i="21"/>
  <c r="D7" i="20"/>
  <c r="D7" i="18"/>
  <c r="D7" i="17"/>
  <c r="D7" i="1"/>
  <c r="D66" i="15" l="1"/>
  <c r="U7" i="32" l="1"/>
  <c r="U8" i="32"/>
  <c r="U9" i="32"/>
  <c r="U10" i="32"/>
  <c r="U11" i="32"/>
  <c r="N4" i="14" l="1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5" i="14"/>
  <c r="U12" i="32" l="1"/>
  <c r="J19" i="32" l="1"/>
  <c r="I19" i="32" s="1"/>
  <c r="J10" i="32"/>
  <c r="D25" i="21" l="1"/>
  <c r="D25" i="22"/>
  <c r="D25" i="23"/>
  <c r="D25" i="24"/>
  <c r="D25" i="25"/>
  <c r="D25" i="26"/>
  <c r="D25" i="27"/>
  <c r="D25" i="28"/>
  <c r="D25" i="29"/>
  <c r="D25" i="30"/>
  <c r="D25" i="20"/>
  <c r="D27" i="21"/>
  <c r="D27" i="22"/>
  <c r="D27" i="23"/>
  <c r="D27" i="24"/>
  <c r="D27" i="25"/>
  <c r="D27" i="26"/>
  <c r="D27" i="27"/>
  <c r="D27" i="28"/>
  <c r="D27" i="29"/>
  <c r="D27" i="30"/>
  <c r="D27" i="20"/>
  <c r="D27" i="18"/>
  <c r="D25" i="18"/>
  <c r="C44" i="15"/>
  <c r="F44" i="15" s="1"/>
  <c r="C45" i="15"/>
  <c r="F45" i="15" s="1"/>
  <c r="G45" i="15" s="1"/>
  <c r="C46" i="15"/>
  <c r="F46" i="15" s="1"/>
  <c r="G46" i="15" s="1"/>
  <c r="C47" i="15"/>
  <c r="C48" i="15"/>
  <c r="F48" i="15" s="1"/>
  <c r="G48" i="15" s="1"/>
  <c r="C49" i="15"/>
  <c r="F49" i="15" s="1"/>
  <c r="G49" i="15" s="1"/>
  <c r="C50" i="15"/>
  <c r="F50" i="15" s="1"/>
  <c r="G50" i="15" s="1"/>
  <c r="C51" i="15"/>
  <c r="F51" i="15" s="1"/>
  <c r="G51" i="15" s="1"/>
  <c r="C52" i="15"/>
  <c r="F52" i="15" s="1"/>
  <c r="G52" i="15" s="1"/>
  <c r="C53" i="15"/>
  <c r="F53" i="15" s="1"/>
  <c r="G53" i="15" s="1"/>
  <c r="C54" i="15"/>
  <c r="F54" i="15" s="1"/>
  <c r="G54" i="15" s="1"/>
  <c r="C55" i="15"/>
  <c r="H55" i="15" s="1"/>
  <c r="C56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G44" i="15" l="1"/>
  <c r="H56" i="15"/>
  <c r="I56" i="15" s="1"/>
  <c r="K56" i="15" s="1"/>
  <c r="F56" i="15"/>
  <c r="G56" i="15" s="1"/>
  <c r="C57" i="15"/>
  <c r="H54" i="15"/>
  <c r="I54" i="15" s="1"/>
  <c r="K54" i="15" s="1"/>
  <c r="F55" i="15"/>
  <c r="G55" i="15" s="1"/>
  <c r="F47" i="15"/>
  <c r="G47" i="15" s="1"/>
  <c r="D57" i="15"/>
  <c r="I55" i="15"/>
  <c r="K55" i="15" s="1"/>
  <c r="E57" i="15"/>
  <c r="G57" i="15" l="1"/>
  <c r="A45" i="15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D25" i="17"/>
  <c r="D25" i="1"/>
  <c r="Q44" i="31"/>
  <c r="N44" i="31"/>
  <c r="I44" i="31"/>
  <c r="E44" i="31"/>
  <c r="L44" i="31" s="1"/>
  <c r="Q43" i="31"/>
  <c r="N43" i="31" s="1"/>
  <c r="E43" i="31"/>
  <c r="I43" i="31" s="1"/>
  <c r="Q42" i="31"/>
  <c r="N42" i="31" s="1"/>
  <c r="L42" i="31"/>
  <c r="K42" i="31"/>
  <c r="H42" i="31"/>
  <c r="G42" i="31"/>
  <c r="E42" i="31"/>
  <c r="J42" i="31" s="1"/>
  <c r="Q41" i="31"/>
  <c r="N41" i="31"/>
  <c r="L41" i="31"/>
  <c r="K41" i="31"/>
  <c r="I41" i="31"/>
  <c r="H41" i="31"/>
  <c r="G41" i="31"/>
  <c r="E41" i="31"/>
  <c r="J41" i="31" s="1"/>
  <c r="Q40" i="31"/>
  <c r="N40" i="31"/>
  <c r="I40" i="31"/>
  <c r="E40" i="31"/>
  <c r="L40" i="31" s="1"/>
  <c r="Q39" i="31"/>
  <c r="N39" i="31" s="1"/>
  <c r="E39" i="31"/>
  <c r="I39" i="31" s="1"/>
  <c r="Q38" i="31"/>
  <c r="N38" i="31" s="1"/>
  <c r="L38" i="31"/>
  <c r="K38" i="31"/>
  <c r="H38" i="31"/>
  <c r="G38" i="31"/>
  <c r="E38" i="31"/>
  <c r="J38" i="31" s="1"/>
  <c r="Q37" i="31"/>
  <c r="N37" i="31"/>
  <c r="L37" i="31"/>
  <c r="K37" i="31"/>
  <c r="I37" i="31"/>
  <c r="H37" i="31"/>
  <c r="G37" i="31"/>
  <c r="E37" i="31"/>
  <c r="J37" i="31" s="1"/>
  <c r="Q36" i="31"/>
  <c r="N36" i="31"/>
  <c r="I36" i="31"/>
  <c r="E36" i="31"/>
  <c r="L36" i="31" s="1"/>
  <c r="Q35" i="31"/>
  <c r="N35" i="31" s="1"/>
  <c r="E35" i="31"/>
  <c r="I35" i="31" s="1"/>
  <c r="Q34" i="31"/>
  <c r="N34" i="31" s="1"/>
  <c r="L34" i="31"/>
  <c r="K34" i="31"/>
  <c r="H34" i="31"/>
  <c r="G34" i="31"/>
  <c r="E34" i="31"/>
  <c r="J34" i="31" s="1"/>
  <c r="Q33" i="31"/>
  <c r="N33" i="31"/>
  <c r="L33" i="31"/>
  <c r="K33" i="31"/>
  <c r="I33" i="31"/>
  <c r="H33" i="31"/>
  <c r="G33" i="31"/>
  <c r="E33" i="31"/>
  <c r="J33" i="31" s="1"/>
  <c r="Q32" i="31"/>
  <c r="N32" i="31"/>
  <c r="I32" i="31"/>
  <c r="E32" i="31"/>
  <c r="L32" i="31" s="1"/>
  <c r="Q31" i="31"/>
  <c r="N31" i="31" s="1"/>
  <c r="E31" i="31"/>
  <c r="I31" i="31" s="1"/>
  <c r="Q30" i="31"/>
  <c r="N30" i="31" s="1"/>
  <c r="L30" i="31"/>
  <c r="K30" i="31"/>
  <c r="H30" i="31"/>
  <c r="G30" i="31"/>
  <c r="E30" i="31"/>
  <c r="J30" i="31" s="1"/>
  <c r="Q29" i="31"/>
  <c r="N29" i="31"/>
  <c r="L29" i="31"/>
  <c r="K29" i="31"/>
  <c r="I29" i="31"/>
  <c r="H29" i="31"/>
  <c r="G29" i="31"/>
  <c r="E29" i="31"/>
  <c r="J29" i="31" s="1"/>
  <c r="Q28" i="31"/>
  <c r="N28" i="31"/>
  <c r="I28" i="31"/>
  <c r="E28" i="31"/>
  <c r="L28" i="31" s="1"/>
  <c r="Q27" i="31"/>
  <c r="N27" i="31" s="1"/>
  <c r="E27" i="31"/>
  <c r="I27" i="31" s="1"/>
  <c r="Q26" i="31"/>
  <c r="N26" i="31" s="1"/>
  <c r="L26" i="31"/>
  <c r="K26" i="31"/>
  <c r="H26" i="31"/>
  <c r="G26" i="31"/>
  <c r="E26" i="31"/>
  <c r="J26" i="31" s="1"/>
  <c r="Q25" i="31"/>
  <c r="N25" i="31"/>
  <c r="L25" i="31"/>
  <c r="K25" i="31"/>
  <c r="I25" i="31"/>
  <c r="H25" i="31"/>
  <c r="G25" i="31"/>
  <c r="E25" i="31"/>
  <c r="J25" i="31" s="1"/>
  <c r="Q24" i="31"/>
  <c r="N24" i="31"/>
  <c r="J24" i="31"/>
  <c r="I24" i="31"/>
  <c r="E24" i="31"/>
  <c r="L24" i="31" s="1"/>
  <c r="Q23" i="31"/>
  <c r="N23" i="31" s="1"/>
  <c r="E23" i="31"/>
  <c r="I23" i="31" s="1"/>
  <c r="Q22" i="31"/>
  <c r="N22" i="31" s="1"/>
  <c r="L22" i="31"/>
  <c r="K22" i="31"/>
  <c r="H22" i="31"/>
  <c r="G22" i="31"/>
  <c r="E22" i="31"/>
  <c r="J22" i="31" s="1"/>
  <c r="Q21" i="31"/>
  <c r="N21" i="31"/>
  <c r="L21" i="31"/>
  <c r="K21" i="31"/>
  <c r="I21" i="31"/>
  <c r="H21" i="31"/>
  <c r="G21" i="31"/>
  <c r="E21" i="31"/>
  <c r="J21" i="31" s="1"/>
  <c r="Q20" i="31"/>
  <c r="L20" i="31"/>
  <c r="K20" i="31"/>
  <c r="Q19" i="31"/>
  <c r="N19" i="31"/>
  <c r="L19" i="31"/>
  <c r="K19" i="31"/>
  <c r="I19" i="31"/>
  <c r="H19" i="31"/>
  <c r="G19" i="31"/>
  <c r="E19" i="31"/>
  <c r="J19" i="31" s="1"/>
  <c r="Q18" i="31"/>
  <c r="N18" i="31"/>
  <c r="I18" i="31"/>
  <c r="E18" i="31"/>
  <c r="L18" i="31" s="1"/>
  <c r="Q17" i="31"/>
  <c r="N17" i="31" s="1"/>
  <c r="E17" i="31"/>
  <c r="I17" i="31" s="1"/>
  <c r="Q16" i="31"/>
  <c r="L16" i="31"/>
  <c r="K16" i="31"/>
  <c r="Q15" i="31"/>
  <c r="N15" i="31" s="1"/>
  <c r="E15" i="31"/>
  <c r="I15" i="31" s="1"/>
  <c r="Q14" i="31"/>
  <c r="N14" i="31" s="1"/>
  <c r="L14" i="31"/>
  <c r="K14" i="31"/>
  <c r="H14" i="31"/>
  <c r="G14" i="31"/>
  <c r="E14" i="31"/>
  <c r="J14" i="31" s="1"/>
  <c r="Q13" i="31"/>
  <c r="N13" i="31"/>
  <c r="L13" i="31"/>
  <c r="K13" i="31"/>
  <c r="I13" i="31"/>
  <c r="H13" i="31"/>
  <c r="G13" i="31"/>
  <c r="E13" i="31"/>
  <c r="J13" i="31" s="1"/>
  <c r="W9" i="31"/>
  <c r="V9" i="31"/>
  <c r="U9" i="31"/>
  <c r="T9" i="31"/>
  <c r="S9" i="31"/>
  <c r="R9" i="31"/>
  <c r="P9" i="31"/>
  <c r="R6" i="31"/>
  <c r="S6" i="31" s="1"/>
  <c r="T6" i="31" s="1"/>
  <c r="U6" i="31" s="1"/>
  <c r="V6" i="31" s="1"/>
  <c r="W6" i="31" s="1"/>
  <c r="Q6" i="31"/>
  <c r="A4" i="31"/>
  <c r="A3" i="31"/>
  <c r="A2" i="31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B6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A7" i="15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C20" i="15" l="1"/>
  <c r="J15" i="31"/>
  <c r="C50" i="31" s="1"/>
  <c r="J27" i="31"/>
  <c r="J31" i="31"/>
  <c r="J43" i="31"/>
  <c r="G15" i="31"/>
  <c r="C47" i="31" s="1"/>
  <c r="K15" i="31"/>
  <c r="G17" i="31"/>
  <c r="K17" i="31"/>
  <c r="J18" i="31"/>
  <c r="G27" i="31"/>
  <c r="K27" i="31"/>
  <c r="G31" i="31"/>
  <c r="K31" i="31"/>
  <c r="J32" i="31"/>
  <c r="K35" i="31"/>
  <c r="J36" i="31"/>
  <c r="G39" i="31"/>
  <c r="K39" i="31"/>
  <c r="J40" i="31"/>
  <c r="G43" i="31"/>
  <c r="K43" i="31"/>
  <c r="J44" i="31"/>
  <c r="I14" i="31"/>
  <c r="H15" i="31"/>
  <c r="C48" i="31" s="1"/>
  <c r="L15" i="31"/>
  <c r="H17" i="31"/>
  <c r="L17" i="31"/>
  <c r="G18" i="31"/>
  <c r="K18" i="31"/>
  <c r="I22" i="31"/>
  <c r="H23" i="31"/>
  <c r="L23" i="31"/>
  <c r="G24" i="31"/>
  <c r="K24" i="31"/>
  <c r="I26" i="31"/>
  <c r="H27" i="31"/>
  <c r="L27" i="31"/>
  <c r="G28" i="31"/>
  <c r="K28" i="31"/>
  <c r="I30" i="31"/>
  <c r="H31" i="31"/>
  <c r="L31" i="31"/>
  <c r="G32" i="31"/>
  <c r="K32" i="31"/>
  <c r="I34" i="31"/>
  <c r="H35" i="31"/>
  <c r="L35" i="31"/>
  <c r="G36" i="31"/>
  <c r="K36" i="31"/>
  <c r="I38" i="31"/>
  <c r="H39" i="31"/>
  <c r="L39" i="31"/>
  <c r="G40" i="31"/>
  <c r="K40" i="31"/>
  <c r="I42" i="31"/>
  <c r="H43" i="31"/>
  <c r="L43" i="31"/>
  <c r="G44" i="31"/>
  <c r="K44" i="31"/>
  <c r="J17" i="31"/>
  <c r="J23" i="31"/>
  <c r="J35" i="31"/>
  <c r="J39" i="31"/>
  <c r="G23" i="31"/>
  <c r="K23" i="31"/>
  <c r="J28" i="31"/>
  <c r="G35" i="31"/>
  <c r="Q9" i="31"/>
  <c r="H18" i="31"/>
  <c r="H24" i="31"/>
  <c r="H28" i="31"/>
  <c r="H32" i="31"/>
  <c r="H36" i="31"/>
  <c r="H40" i="31"/>
  <c r="H44" i="31"/>
  <c r="C49" i="31" l="1"/>
  <c r="D29" i="27"/>
  <c r="D17" i="30"/>
  <c r="D16" i="30"/>
  <c r="D17" i="29"/>
  <c r="D16" i="29"/>
  <c r="D16" i="27"/>
  <c r="D16" i="28"/>
  <c r="D17" i="28"/>
  <c r="D17" i="27"/>
  <c r="D17" i="26"/>
  <c r="D17" i="25"/>
  <c r="D17" i="24"/>
  <c r="D17" i="23"/>
  <c r="D17" i="22"/>
  <c r="D17" i="21"/>
  <c r="D17" i="20"/>
  <c r="D17" i="18"/>
  <c r="D17" i="17"/>
  <c r="D17" i="1"/>
  <c r="D16" i="17"/>
  <c r="D16" i="18"/>
  <c r="D16" i="20"/>
  <c r="D16" i="21"/>
  <c r="D16" i="22"/>
  <c r="D16" i="23"/>
  <c r="D16" i="24"/>
  <c r="D16" i="25"/>
  <c r="D16" i="26"/>
  <c r="D16" i="1"/>
  <c r="C53" i="31" l="1"/>
  <c r="C51" i="31"/>
  <c r="F6" i="16"/>
  <c r="F4" i="16"/>
  <c r="C6" i="16"/>
  <c r="C4" i="16"/>
  <c r="F7" i="16"/>
  <c r="C7" i="16"/>
  <c r="C19" i="14" l="1"/>
  <c r="B18" i="14"/>
  <c r="B17" i="14"/>
  <c r="B16" i="14"/>
  <c r="B15" i="14"/>
  <c r="B14" i="14"/>
  <c r="B13" i="14"/>
  <c r="B12" i="14"/>
  <c r="B11" i="14"/>
  <c r="B5" i="14"/>
  <c r="B10" i="14"/>
  <c r="B9" i="14"/>
  <c r="B8" i="14"/>
  <c r="B7" i="14"/>
  <c r="B6" i="14"/>
  <c r="C66" i="30"/>
  <c r="C53" i="30"/>
  <c r="C43" i="30"/>
  <c r="D29" i="30"/>
  <c r="D22" i="30"/>
  <c r="C66" i="29"/>
  <c r="C53" i="29"/>
  <c r="C43" i="29"/>
  <c r="D29" i="29"/>
  <c r="D22" i="29"/>
  <c r="D14" i="29"/>
  <c r="D17" i="14" s="1"/>
  <c r="D18" i="15" s="1"/>
  <c r="C66" i="28"/>
  <c r="C53" i="28"/>
  <c r="C43" i="28"/>
  <c r="D29" i="28"/>
  <c r="D22" i="28"/>
  <c r="C66" i="27"/>
  <c r="C53" i="27"/>
  <c r="C43" i="27"/>
  <c r="D22" i="27"/>
  <c r="D14" i="27"/>
  <c r="D15" i="14" s="1"/>
  <c r="D16" i="15" s="1"/>
  <c r="C66" i="26"/>
  <c r="C53" i="26"/>
  <c r="C43" i="26"/>
  <c r="D29" i="26"/>
  <c r="D22" i="26"/>
  <c r="D14" i="26"/>
  <c r="D14" i="14" s="1"/>
  <c r="D15" i="15" s="1"/>
  <c r="C66" i="25"/>
  <c r="C53" i="25"/>
  <c r="C43" i="25"/>
  <c r="D29" i="25"/>
  <c r="D22" i="25"/>
  <c r="D14" i="25"/>
  <c r="D13" i="14" s="1"/>
  <c r="D14" i="15" s="1"/>
  <c r="C66" i="24"/>
  <c r="C53" i="24"/>
  <c r="C43" i="24"/>
  <c r="D29" i="24"/>
  <c r="D22" i="24"/>
  <c r="D14" i="24"/>
  <c r="D12" i="14" s="1"/>
  <c r="D13" i="15" s="1"/>
  <c r="C66" i="23"/>
  <c r="C53" i="23"/>
  <c r="C43" i="23"/>
  <c r="D29" i="23"/>
  <c r="D22" i="23"/>
  <c r="D14" i="23"/>
  <c r="D11" i="14" s="1"/>
  <c r="D12" i="15" s="1"/>
  <c r="C66" i="22"/>
  <c r="C53" i="22"/>
  <c r="C43" i="22"/>
  <c r="D29" i="22"/>
  <c r="D22" i="22"/>
  <c r="D14" i="22"/>
  <c r="D10" i="14" s="1"/>
  <c r="D11" i="15" s="1"/>
  <c r="C66" i="21"/>
  <c r="C53" i="21"/>
  <c r="C43" i="21"/>
  <c r="D29" i="21"/>
  <c r="D22" i="21"/>
  <c r="D14" i="21"/>
  <c r="D9" i="14" s="1"/>
  <c r="D10" i="15" s="1"/>
  <c r="C66" i="20"/>
  <c r="C53" i="20"/>
  <c r="C43" i="20"/>
  <c r="D29" i="20"/>
  <c r="D22" i="20"/>
  <c r="D14" i="20"/>
  <c r="D8" i="14" s="1"/>
  <c r="D9" i="15" s="1"/>
  <c r="C66" i="18"/>
  <c r="C53" i="18"/>
  <c r="C43" i="18"/>
  <c r="D29" i="18"/>
  <c r="D22" i="18"/>
  <c r="D14" i="18"/>
  <c r="D7" i="14" s="1"/>
  <c r="D8" i="15" s="1"/>
  <c r="C66" i="17"/>
  <c r="C53" i="17"/>
  <c r="C43" i="17"/>
  <c r="D29" i="17"/>
  <c r="D22" i="17"/>
  <c r="D14" i="17"/>
  <c r="D6" i="14" s="1"/>
  <c r="D7" i="15" s="1"/>
  <c r="D53" i="29" l="1"/>
  <c r="D53" i="27"/>
  <c r="D53" i="26"/>
  <c r="D36" i="25"/>
  <c r="D53" i="25"/>
  <c r="C40" i="25"/>
  <c r="C56" i="25" s="1"/>
  <c r="D56" i="25" s="1"/>
  <c r="D60" i="25"/>
  <c r="D64" i="25"/>
  <c r="D32" i="25"/>
  <c r="D66" i="25"/>
  <c r="D53" i="24"/>
  <c r="D53" i="23"/>
  <c r="D53" i="22"/>
  <c r="D53" i="21"/>
  <c r="D53" i="20"/>
  <c r="D53" i="18"/>
  <c r="D53" i="17"/>
  <c r="D33" i="29"/>
  <c r="D48" i="29"/>
  <c r="D54" i="29"/>
  <c r="D61" i="29"/>
  <c r="D34" i="29"/>
  <c r="D42" i="29"/>
  <c r="D43" i="29" s="1"/>
  <c r="D63" i="29"/>
  <c r="D66" i="29"/>
  <c r="D37" i="29"/>
  <c r="D57" i="29"/>
  <c r="D65" i="29"/>
  <c r="D38" i="29"/>
  <c r="D52" i="29"/>
  <c r="D55" i="29"/>
  <c r="D62" i="29"/>
  <c r="C90" i="29"/>
  <c r="D35" i="29"/>
  <c r="D39" i="29"/>
  <c r="D32" i="29"/>
  <c r="D36" i="29"/>
  <c r="C40" i="29"/>
  <c r="D60" i="29"/>
  <c r="D64" i="29"/>
  <c r="D34" i="27"/>
  <c r="D52" i="27"/>
  <c r="D55" i="27"/>
  <c r="D62" i="27"/>
  <c r="C90" i="27"/>
  <c r="D33" i="27"/>
  <c r="D54" i="27"/>
  <c r="D61" i="27"/>
  <c r="D38" i="27"/>
  <c r="D35" i="27"/>
  <c r="D39" i="27"/>
  <c r="D63" i="27"/>
  <c r="D66" i="27"/>
  <c r="D37" i="27"/>
  <c r="D48" i="27"/>
  <c r="D57" i="27"/>
  <c r="D65" i="27"/>
  <c r="D42" i="27"/>
  <c r="D43" i="27" s="1"/>
  <c r="D32" i="27"/>
  <c r="D36" i="27"/>
  <c r="C40" i="27"/>
  <c r="C67" i="27" s="1"/>
  <c r="D60" i="27"/>
  <c r="D64" i="27"/>
  <c r="D33" i="26"/>
  <c r="D37" i="26"/>
  <c r="D48" i="26"/>
  <c r="D54" i="26"/>
  <c r="D57" i="26"/>
  <c r="D61" i="26"/>
  <c r="D65" i="26"/>
  <c r="D34" i="26"/>
  <c r="D38" i="26"/>
  <c r="D42" i="26"/>
  <c r="D43" i="26" s="1"/>
  <c r="D52" i="26"/>
  <c r="D55" i="26"/>
  <c r="D62" i="26"/>
  <c r="C90" i="26"/>
  <c r="D35" i="26"/>
  <c r="D39" i="26"/>
  <c r="D63" i="26"/>
  <c r="D66" i="26"/>
  <c r="D32" i="26"/>
  <c r="D36" i="26"/>
  <c r="C40" i="26"/>
  <c r="D60" i="26"/>
  <c r="D64" i="26"/>
  <c r="D37" i="25"/>
  <c r="D57" i="25"/>
  <c r="D34" i="25"/>
  <c r="D38" i="25"/>
  <c r="D42" i="25"/>
  <c r="D43" i="25" s="1"/>
  <c r="D52" i="25"/>
  <c r="D55" i="25"/>
  <c r="D62" i="25"/>
  <c r="C90" i="25"/>
  <c r="D33" i="25"/>
  <c r="D48" i="25"/>
  <c r="D54" i="25"/>
  <c r="D61" i="25"/>
  <c r="D65" i="25"/>
  <c r="D35" i="25"/>
  <c r="D39" i="25"/>
  <c r="D63" i="25"/>
  <c r="D37" i="24"/>
  <c r="D48" i="24"/>
  <c r="D54" i="24"/>
  <c r="D57" i="24"/>
  <c r="D65" i="24"/>
  <c r="D34" i="24"/>
  <c r="D42" i="24"/>
  <c r="D43" i="24" s="1"/>
  <c r="D52" i="24"/>
  <c r="D62" i="24"/>
  <c r="D35" i="24"/>
  <c r="D63" i="24"/>
  <c r="D66" i="24"/>
  <c r="D33" i="24"/>
  <c r="D61" i="24"/>
  <c r="D38" i="24"/>
  <c r="D55" i="24"/>
  <c r="C90" i="24"/>
  <c r="D39" i="24"/>
  <c r="D32" i="24"/>
  <c r="D36" i="24"/>
  <c r="C40" i="24"/>
  <c r="C67" i="24" s="1"/>
  <c r="D60" i="24"/>
  <c r="D64" i="24"/>
  <c r="D48" i="23"/>
  <c r="D54" i="23"/>
  <c r="D61" i="23"/>
  <c r="D38" i="23"/>
  <c r="D52" i="23"/>
  <c r="D62" i="23"/>
  <c r="C90" i="23"/>
  <c r="D63" i="23"/>
  <c r="D66" i="23"/>
  <c r="D33" i="23"/>
  <c r="D37" i="23"/>
  <c r="D57" i="23"/>
  <c r="D65" i="23"/>
  <c r="D34" i="23"/>
  <c r="D42" i="23"/>
  <c r="D43" i="23" s="1"/>
  <c r="D55" i="23"/>
  <c r="D35" i="23"/>
  <c r="D39" i="23"/>
  <c r="D32" i="23"/>
  <c r="D36" i="23"/>
  <c r="C40" i="23"/>
  <c r="C67" i="23" s="1"/>
  <c r="D60" i="23"/>
  <c r="D64" i="23"/>
  <c r="D48" i="22"/>
  <c r="D54" i="22"/>
  <c r="D61" i="22"/>
  <c r="D34" i="22"/>
  <c r="D42" i="22"/>
  <c r="D43" i="22" s="1"/>
  <c r="D55" i="22"/>
  <c r="D62" i="22"/>
  <c r="C90" i="22"/>
  <c r="D63" i="22"/>
  <c r="D66" i="22"/>
  <c r="D33" i="22"/>
  <c r="D37" i="22"/>
  <c r="D57" i="22"/>
  <c r="D65" i="22"/>
  <c r="D38" i="22"/>
  <c r="D52" i="22"/>
  <c r="D35" i="22"/>
  <c r="D39" i="22"/>
  <c r="D32" i="22"/>
  <c r="D36" i="22"/>
  <c r="C40" i="22"/>
  <c r="C67" i="22" s="1"/>
  <c r="D67" i="22" s="1"/>
  <c r="D60" i="22"/>
  <c r="D64" i="22"/>
  <c r="D33" i="21"/>
  <c r="D57" i="21"/>
  <c r="D61" i="21"/>
  <c r="D34" i="21"/>
  <c r="D38" i="21"/>
  <c r="D42" i="21"/>
  <c r="D43" i="21" s="1"/>
  <c r="D52" i="21"/>
  <c r="D55" i="21"/>
  <c r="D62" i="21"/>
  <c r="C90" i="21"/>
  <c r="D37" i="21"/>
  <c r="D48" i="21"/>
  <c r="D54" i="21"/>
  <c r="D65" i="21"/>
  <c r="D63" i="21"/>
  <c r="D66" i="21"/>
  <c r="D35" i="21"/>
  <c r="D39" i="21"/>
  <c r="D32" i="21"/>
  <c r="D36" i="21"/>
  <c r="C40" i="21"/>
  <c r="D60" i="21"/>
  <c r="D64" i="21"/>
  <c r="D37" i="20"/>
  <c r="D57" i="20"/>
  <c r="D52" i="20"/>
  <c r="D33" i="20"/>
  <c r="D61" i="20"/>
  <c r="D38" i="20"/>
  <c r="D55" i="20"/>
  <c r="D35" i="20"/>
  <c r="D39" i="20"/>
  <c r="D63" i="20"/>
  <c r="D66" i="20"/>
  <c r="D48" i="20"/>
  <c r="D54" i="20"/>
  <c r="D65" i="20"/>
  <c r="D34" i="20"/>
  <c r="D42" i="20"/>
  <c r="D43" i="20" s="1"/>
  <c r="D62" i="20"/>
  <c r="C90" i="20"/>
  <c r="D32" i="20"/>
  <c r="D36" i="20"/>
  <c r="C40" i="20"/>
  <c r="D60" i="20"/>
  <c r="D64" i="20"/>
  <c r="D33" i="18"/>
  <c r="D37" i="18"/>
  <c r="D57" i="18"/>
  <c r="D65" i="18"/>
  <c r="D34" i="18"/>
  <c r="D42" i="18"/>
  <c r="D43" i="18" s="1"/>
  <c r="D55" i="18"/>
  <c r="C90" i="18"/>
  <c r="D35" i="18"/>
  <c r="D63" i="18"/>
  <c r="D48" i="18"/>
  <c r="D54" i="18"/>
  <c r="D61" i="18"/>
  <c r="D38" i="18"/>
  <c r="D52" i="18"/>
  <c r="D62" i="18"/>
  <c r="D39" i="18"/>
  <c r="D66" i="18"/>
  <c r="D32" i="18"/>
  <c r="D36" i="18"/>
  <c r="C40" i="18"/>
  <c r="D60" i="18"/>
  <c r="D64" i="18"/>
  <c r="D33" i="17"/>
  <c r="D57" i="17"/>
  <c r="D34" i="17"/>
  <c r="D42" i="17"/>
  <c r="D43" i="17" s="1"/>
  <c r="D55" i="17"/>
  <c r="D39" i="17"/>
  <c r="D63" i="17"/>
  <c r="D66" i="17"/>
  <c r="D37" i="17"/>
  <c r="D48" i="17"/>
  <c r="D54" i="17"/>
  <c r="D61" i="17"/>
  <c r="D65" i="17"/>
  <c r="D38" i="17"/>
  <c r="D52" i="17"/>
  <c r="D62" i="17"/>
  <c r="C90" i="17"/>
  <c r="D35" i="17"/>
  <c r="D32" i="17"/>
  <c r="D36" i="17"/>
  <c r="C40" i="17"/>
  <c r="D60" i="17"/>
  <c r="D64" i="17"/>
  <c r="C71" i="25" l="1"/>
  <c r="C67" i="25"/>
  <c r="C44" i="25"/>
  <c r="C49" i="25"/>
  <c r="D49" i="25" s="1"/>
  <c r="D50" i="25" s="1"/>
  <c r="D73" i="25" s="1"/>
  <c r="C58" i="25"/>
  <c r="C74" i="25" s="1"/>
  <c r="D68" i="22"/>
  <c r="D75" i="22" s="1"/>
  <c r="D40" i="25"/>
  <c r="D71" i="25" s="1"/>
  <c r="D40" i="29"/>
  <c r="D71" i="29" s="1"/>
  <c r="C71" i="29"/>
  <c r="C44" i="29"/>
  <c r="C56" i="29"/>
  <c r="C49" i="29"/>
  <c r="C67" i="29"/>
  <c r="D67" i="27"/>
  <c r="D68" i="27" s="1"/>
  <c r="D75" i="27" s="1"/>
  <c r="C68" i="27"/>
  <c r="C75" i="27" s="1"/>
  <c r="D40" i="27"/>
  <c r="D71" i="27" s="1"/>
  <c r="C71" i="27"/>
  <c r="C56" i="27"/>
  <c r="C44" i="27"/>
  <c r="C49" i="27"/>
  <c r="D40" i="26"/>
  <c r="D71" i="26" s="1"/>
  <c r="C71" i="26"/>
  <c r="C56" i="26"/>
  <c r="C49" i="26"/>
  <c r="C44" i="26"/>
  <c r="C67" i="26"/>
  <c r="D58" i="25"/>
  <c r="D74" i="25" s="1"/>
  <c r="D67" i="24"/>
  <c r="D68" i="24" s="1"/>
  <c r="D75" i="24" s="1"/>
  <c r="C68" i="24"/>
  <c r="C75" i="24" s="1"/>
  <c r="D40" i="24"/>
  <c r="D71" i="24" s="1"/>
  <c r="C71" i="24"/>
  <c r="C56" i="24"/>
  <c r="C49" i="24"/>
  <c r="C44" i="24"/>
  <c r="D67" i="23"/>
  <c r="D68" i="23" s="1"/>
  <c r="D75" i="23" s="1"/>
  <c r="C68" i="23"/>
  <c r="C75" i="23" s="1"/>
  <c r="D40" i="23"/>
  <c r="D71" i="23" s="1"/>
  <c r="C71" i="23"/>
  <c r="C49" i="23"/>
  <c r="C44" i="23"/>
  <c r="C56" i="23"/>
  <c r="C71" i="22"/>
  <c r="C44" i="22"/>
  <c r="C56" i="22"/>
  <c r="C49" i="22"/>
  <c r="D40" i="22"/>
  <c r="D71" i="22" s="1"/>
  <c r="C68" i="22"/>
  <c r="C75" i="22" s="1"/>
  <c r="C71" i="21"/>
  <c r="C67" i="21"/>
  <c r="C56" i="21"/>
  <c r="C49" i="21"/>
  <c r="C44" i="21"/>
  <c r="D40" i="21"/>
  <c r="D71" i="21" s="1"/>
  <c r="D40" i="20"/>
  <c r="D71" i="20" s="1"/>
  <c r="C71" i="20"/>
  <c r="C49" i="20"/>
  <c r="C56" i="20"/>
  <c r="C44" i="20"/>
  <c r="C67" i="20"/>
  <c r="C71" i="18"/>
  <c r="C56" i="18"/>
  <c r="C49" i="18"/>
  <c r="C44" i="18"/>
  <c r="D40" i="18"/>
  <c r="D71" i="18" s="1"/>
  <c r="C67" i="18"/>
  <c r="D40" i="17"/>
  <c r="D71" i="17" s="1"/>
  <c r="C71" i="17"/>
  <c r="C44" i="17"/>
  <c r="C56" i="17"/>
  <c r="C49" i="17"/>
  <c r="C67" i="17"/>
  <c r="C50" i="25" l="1"/>
  <c r="C73" i="25" s="1"/>
  <c r="D44" i="25"/>
  <c r="D46" i="25" s="1"/>
  <c r="D72" i="25" s="1"/>
  <c r="C46" i="25"/>
  <c r="C72" i="25" s="1"/>
  <c r="D67" i="25"/>
  <c r="D68" i="25" s="1"/>
  <c r="D75" i="25" s="1"/>
  <c r="D76" i="25" s="1"/>
  <c r="D78" i="25" s="1"/>
  <c r="D81" i="25" s="1"/>
  <c r="C68" i="25"/>
  <c r="C75" i="25" s="1"/>
  <c r="D67" i="29"/>
  <c r="D68" i="29" s="1"/>
  <c r="D75" i="29" s="1"/>
  <c r="C68" i="29"/>
  <c r="C75" i="29" s="1"/>
  <c r="D56" i="29"/>
  <c r="D58" i="29" s="1"/>
  <c r="D74" i="29" s="1"/>
  <c r="C58" i="29"/>
  <c r="C74" i="29" s="1"/>
  <c r="D44" i="29"/>
  <c r="D46" i="29" s="1"/>
  <c r="D72" i="29" s="1"/>
  <c r="C46" i="29"/>
  <c r="C72" i="29" s="1"/>
  <c r="D49" i="29"/>
  <c r="D50" i="29" s="1"/>
  <c r="D73" i="29" s="1"/>
  <c r="C50" i="29"/>
  <c r="C73" i="29" s="1"/>
  <c r="D49" i="27"/>
  <c r="D50" i="27" s="1"/>
  <c r="D73" i="27" s="1"/>
  <c r="C50" i="27"/>
  <c r="C73" i="27" s="1"/>
  <c r="D56" i="27"/>
  <c r="D58" i="27" s="1"/>
  <c r="D74" i="27" s="1"/>
  <c r="C58" i="27"/>
  <c r="C74" i="27" s="1"/>
  <c r="D44" i="27"/>
  <c r="D46" i="27" s="1"/>
  <c r="D72" i="27" s="1"/>
  <c r="D76" i="27" s="1"/>
  <c r="D78" i="27" s="1"/>
  <c r="C46" i="27"/>
  <c r="C72" i="27" s="1"/>
  <c r="D56" i="26"/>
  <c r="D58" i="26" s="1"/>
  <c r="D74" i="26" s="1"/>
  <c r="C58" i="26"/>
  <c r="C74" i="26" s="1"/>
  <c r="D67" i="26"/>
  <c r="D68" i="26" s="1"/>
  <c r="D75" i="26" s="1"/>
  <c r="C68" i="26"/>
  <c r="C75" i="26" s="1"/>
  <c r="D44" i="26"/>
  <c r="D46" i="26" s="1"/>
  <c r="D72" i="26" s="1"/>
  <c r="C46" i="26"/>
  <c r="C72" i="26" s="1"/>
  <c r="D49" i="26"/>
  <c r="D50" i="26" s="1"/>
  <c r="D73" i="26" s="1"/>
  <c r="C50" i="26"/>
  <c r="C73" i="26" s="1"/>
  <c r="D44" i="24"/>
  <c r="D46" i="24" s="1"/>
  <c r="D72" i="24" s="1"/>
  <c r="C46" i="24"/>
  <c r="C72" i="24" s="1"/>
  <c r="D49" i="24"/>
  <c r="D50" i="24" s="1"/>
  <c r="D73" i="24" s="1"/>
  <c r="C50" i="24"/>
  <c r="C73" i="24" s="1"/>
  <c r="D56" i="24"/>
  <c r="D58" i="24" s="1"/>
  <c r="D74" i="24" s="1"/>
  <c r="C58" i="24"/>
  <c r="C74" i="24" s="1"/>
  <c r="D56" i="23"/>
  <c r="D58" i="23" s="1"/>
  <c r="D74" i="23" s="1"/>
  <c r="C58" i="23"/>
  <c r="C74" i="23" s="1"/>
  <c r="D44" i="23"/>
  <c r="D46" i="23" s="1"/>
  <c r="D72" i="23" s="1"/>
  <c r="C46" i="23"/>
  <c r="C72" i="23" s="1"/>
  <c r="D49" i="23"/>
  <c r="D50" i="23" s="1"/>
  <c r="D73" i="23" s="1"/>
  <c r="C50" i="23"/>
  <c r="C73" i="23" s="1"/>
  <c r="D44" i="22"/>
  <c r="D46" i="22" s="1"/>
  <c r="D72" i="22" s="1"/>
  <c r="C46" i="22"/>
  <c r="C72" i="22" s="1"/>
  <c r="D49" i="22"/>
  <c r="D50" i="22" s="1"/>
  <c r="D73" i="22" s="1"/>
  <c r="C50" i="22"/>
  <c r="C73" i="22" s="1"/>
  <c r="D56" i="22"/>
  <c r="D58" i="22" s="1"/>
  <c r="D74" i="22" s="1"/>
  <c r="C58" i="22"/>
  <c r="C74" i="22" s="1"/>
  <c r="D49" i="21"/>
  <c r="D50" i="21" s="1"/>
  <c r="D73" i="21" s="1"/>
  <c r="C50" i="21"/>
  <c r="C73" i="21" s="1"/>
  <c r="D56" i="21"/>
  <c r="D58" i="21" s="1"/>
  <c r="D74" i="21" s="1"/>
  <c r="C58" i="21"/>
  <c r="C74" i="21" s="1"/>
  <c r="D67" i="21"/>
  <c r="D68" i="21" s="1"/>
  <c r="D75" i="21" s="1"/>
  <c r="C68" i="21"/>
  <c r="C75" i="21" s="1"/>
  <c r="D44" i="21"/>
  <c r="D46" i="21" s="1"/>
  <c r="D72" i="21" s="1"/>
  <c r="C46" i="21"/>
  <c r="C72" i="21" s="1"/>
  <c r="D56" i="20"/>
  <c r="D58" i="20" s="1"/>
  <c r="D74" i="20" s="1"/>
  <c r="C58" i="20"/>
  <c r="C74" i="20" s="1"/>
  <c r="D67" i="20"/>
  <c r="D68" i="20" s="1"/>
  <c r="D75" i="20" s="1"/>
  <c r="C68" i="20"/>
  <c r="C75" i="20" s="1"/>
  <c r="D49" i="20"/>
  <c r="D50" i="20" s="1"/>
  <c r="D73" i="20" s="1"/>
  <c r="C50" i="20"/>
  <c r="C73" i="20" s="1"/>
  <c r="D44" i="20"/>
  <c r="D46" i="20" s="1"/>
  <c r="D72" i="20" s="1"/>
  <c r="C46" i="20"/>
  <c r="C72" i="20" s="1"/>
  <c r="D67" i="18"/>
  <c r="D68" i="18" s="1"/>
  <c r="D75" i="18" s="1"/>
  <c r="C68" i="18"/>
  <c r="C75" i="18" s="1"/>
  <c r="D44" i="18"/>
  <c r="D46" i="18" s="1"/>
  <c r="D72" i="18" s="1"/>
  <c r="C46" i="18"/>
  <c r="C72" i="18" s="1"/>
  <c r="D49" i="18"/>
  <c r="D50" i="18" s="1"/>
  <c r="D73" i="18" s="1"/>
  <c r="C50" i="18"/>
  <c r="C73" i="18" s="1"/>
  <c r="D56" i="18"/>
  <c r="D58" i="18" s="1"/>
  <c r="D74" i="18" s="1"/>
  <c r="C58" i="18"/>
  <c r="C74" i="18" s="1"/>
  <c r="D67" i="17"/>
  <c r="D68" i="17" s="1"/>
  <c r="D75" i="17" s="1"/>
  <c r="C68" i="17"/>
  <c r="C75" i="17" s="1"/>
  <c r="D44" i="17"/>
  <c r="D46" i="17" s="1"/>
  <c r="D72" i="17" s="1"/>
  <c r="C46" i="17"/>
  <c r="C72" i="17" s="1"/>
  <c r="D56" i="17"/>
  <c r="D58" i="17" s="1"/>
  <c r="D74" i="17" s="1"/>
  <c r="C58" i="17"/>
  <c r="C74" i="17" s="1"/>
  <c r="D49" i="17"/>
  <c r="D50" i="17" s="1"/>
  <c r="D73" i="17" s="1"/>
  <c r="C50" i="17"/>
  <c r="C73" i="17" s="1"/>
  <c r="F14" i="16"/>
  <c r="F15" i="16" s="1"/>
  <c r="C14" i="16"/>
  <c r="C15" i="16" s="1"/>
  <c r="F13" i="16"/>
  <c r="C13" i="16"/>
  <c r="C76" i="29" l="1"/>
  <c r="C76" i="25"/>
  <c r="C76" i="26"/>
  <c r="D76" i="20"/>
  <c r="D78" i="20" s="1"/>
  <c r="D76" i="24"/>
  <c r="D78" i="24" s="1"/>
  <c r="D81" i="24" s="1"/>
  <c r="D76" i="26"/>
  <c r="D78" i="26" s="1"/>
  <c r="D81" i="26" s="1"/>
  <c r="D76" i="23"/>
  <c r="D78" i="23" s="1"/>
  <c r="D81" i="23" s="1"/>
  <c r="C76" i="27"/>
  <c r="D76" i="29"/>
  <c r="D78" i="29" s="1"/>
  <c r="D76" i="21"/>
  <c r="D78" i="21" s="1"/>
  <c r="D81" i="21" s="1"/>
  <c r="C76" i="24"/>
  <c r="C76" i="23"/>
  <c r="C76" i="22"/>
  <c r="D76" i="22"/>
  <c r="D78" i="22" s="1"/>
  <c r="C76" i="21"/>
  <c r="C76" i="20"/>
  <c r="C76" i="18"/>
  <c r="D76" i="18"/>
  <c r="D78" i="18" s="1"/>
  <c r="D81" i="18" s="1"/>
  <c r="D82" i="18" s="1"/>
  <c r="D93" i="18" s="1"/>
  <c r="C76" i="17"/>
  <c r="D76" i="17"/>
  <c r="D78" i="17" s="1"/>
  <c r="D81" i="17" s="1"/>
  <c r="D82" i="17" s="1"/>
  <c r="D93" i="17" s="1"/>
  <c r="E6" i="14" s="1"/>
  <c r="E7" i="15" s="1"/>
  <c r="F16" i="16"/>
  <c r="D9" i="30" s="1"/>
  <c r="D14" i="30" s="1"/>
  <c r="C16" i="16"/>
  <c r="D9" i="28" s="1"/>
  <c r="D14" i="28" s="1"/>
  <c r="D81" i="29"/>
  <c r="D82" i="29" s="1"/>
  <c r="D93" i="29" s="1"/>
  <c r="D81" i="27"/>
  <c r="D82" i="25"/>
  <c r="D93" i="25" s="1"/>
  <c r="D81" i="20"/>
  <c r="D16" i="14" l="1"/>
  <c r="D17" i="15" s="1"/>
  <c r="D65" i="28"/>
  <c r="D62" i="28"/>
  <c r="D66" i="28"/>
  <c r="D38" i="28"/>
  <c r="D36" i="28"/>
  <c r="D53" i="28"/>
  <c r="D33" i="28"/>
  <c r="D34" i="28"/>
  <c r="D35" i="28"/>
  <c r="D48" i="28"/>
  <c r="D52" i="28"/>
  <c r="C40" i="28"/>
  <c r="D55" i="28"/>
  <c r="D61" i="28"/>
  <c r="D64" i="28"/>
  <c r="D37" i="28"/>
  <c r="D42" i="28"/>
  <c r="D43" i="28" s="1"/>
  <c r="D39" i="28"/>
  <c r="D54" i="28"/>
  <c r="C90" i="28"/>
  <c r="D60" i="28"/>
  <c r="D57" i="28"/>
  <c r="D63" i="28"/>
  <c r="D32" i="28"/>
  <c r="D18" i="14"/>
  <c r="D19" i="15" s="1"/>
  <c r="D48" i="30"/>
  <c r="D65" i="30"/>
  <c r="D52" i="30"/>
  <c r="D35" i="30"/>
  <c r="D32" i="30"/>
  <c r="D64" i="30"/>
  <c r="D61" i="30"/>
  <c r="D66" i="30"/>
  <c r="D54" i="30"/>
  <c r="D34" i="30"/>
  <c r="D55" i="30"/>
  <c r="D39" i="30"/>
  <c r="D36" i="30"/>
  <c r="D53" i="30"/>
  <c r="D42" i="30"/>
  <c r="D43" i="30" s="1"/>
  <c r="D60" i="30"/>
  <c r="D33" i="30"/>
  <c r="D57" i="30"/>
  <c r="D38" i="30"/>
  <c r="D62" i="30"/>
  <c r="D63" i="30"/>
  <c r="C40" i="30"/>
  <c r="D37" i="30"/>
  <c r="C90" i="30"/>
  <c r="E17" i="14"/>
  <c r="E18" i="15" s="1"/>
  <c r="D87" i="29"/>
  <c r="D88" i="29"/>
  <c r="E13" i="14"/>
  <c r="E14" i="15" s="1"/>
  <c r="D87" i="25"/>
  <c r="D88" i="25"/>
  <c r="E7" i="14"/>
  <c r="E8" i="15" s="1"/>
  <c r="D87" i="18"/>
  <c r="D88" i="18"/>
  <c r="F17" i="14"/>
  <c r="H17" i="14"/>
  <c r="D81" i="22"/>
  <c r="D82" i="22" s="1"/>
  <c r="D93" i="22" s="1"/>
  <c r="E10" i="14" s="1"/>
  <c r="E11" i="15" s="1"/>
  <c r="D85" i="29"/>
  <c r="D84" i="29"/>
  <c r="D82" i="27"/>
  <c r="D93" i="27" s="1"/>
  <c r="E15" i="14" s="1"/>
  <c r="E16" i="15" s="1"/>
  <c r="D82" i="26"/>
  <c r="D93" i="26" s="1"/>
  <c r="D84" i="25"/>
  <c r="D85" i="25"/>
  <c r="D82" i="24"/>
  <c r="D93" i="24" s="1"/>
  <c r="D82" i="23"/>
  <c r="D82" i="21"/>
  <c r="D93" i="21" s="1"/>
  <c r="E9" i="14" s="1"/>
  <c r="E10" i="15" s="1"/>
  <c r="D82" i="20"/>
  <c r="D93" i="20" s="1"/>
  <c r="E8" i="14" s="1"/>
  <c r="E9" i="15" s="1"/>
  <c r="D85" i="18"/>
  <c r="D84" i="18"/>
  <c r="D85" i="17"/>
  <c r="D84" i="17"/>
  <c r="D40" i="28" l="1"/>
  <c r="D71" i="28" s="1"/>
  <c r="C71" i="28"/>
  <c r="C56" i="28"/>
  <c r="C67" i="28"/>
  <c r="C49" i="28"/>
  <c r="C44" i="28"/>
  <c r="C67" i="30"/>
  <c r="C49" i="30"/>
  <c r="C44" i="30"/>
  <c r="C71" i="30"/>
  <c r="C56" i="30"/>
  <c r="D40" i="30"/>
  <c r="D71" i="30" s="1"/>
  <c r="E14" i="14"/>
  <c r="E15" i="15" s="1"/>
  <c r="D87" i="26"/>
  <c r="D88" i="26"/>
  <c r="E12" i="14"/>
  <c r="E13" i="15" s="1"/>
  <c r="D87" i="24"/>
  <c r="D88" i="24"/>
  <c r="I17" i="14"/>
  <c r="K17" i="14" s="1"/>
  <c r="H18" i="15"/>
  <c r="I18" i="15" s="1"/>
  <c r="K18" i="15" s="1"/>
  <c r="G17" i="14"/>
  <c r="G18" i="15" s="1"/>
  <c r="F18" i="15"/>
  <c r="D90" i="25"/>
  <c r="D90" i="17"/>
  <c r="D90" i="29"/>
  <c r="D84" i="22"/>
  <c r="D85" i="22"/>
  <c r="D90" i="18"/>
  <c r="D85" i="27"/>
  <c r="D84" i="27"/>
  <c r="D85" i="26"/>
  <c r="D84" i="26"/>
  <c r="D85" i="24"/>
  <c r="D84" i="24"/>
  <c r="D93" i="23"/>
  <c r="D85" i="21"/>
  <c r="D84" i="21"/>
  <c r="D85" i="20"/>
  <c r="D84" i="20"/>
  <c r="L9" i="15"/>
  <c r="D58" i="15"/>
  <c r="E33" i="15"/>
  <c r="E34" i="15" s="1"/>
  <c r="D33" i="15"/>
  <c r="D34" i="15" s="1"/>
  <c r="D35" i="15" s="1"/>
  <c r="B33" i="15"/>
  <c r="C27" i="15"/>
  <c r="E26" i="15"/>
  <c r="H26" i="15" s="1"/>
  <c r="I26" i="15" s="1"/>
  <c r="D26" i="15"/>
  <c r="B26" i="15"/>
  <c r="E25" i="15"/>
  <c r="H25" i="15" s="1"/>
  <c r="D25" i="15"/>
  <c r="D27" i="15" s="1"/>
  <c r="D28" i="15" s="1"/>
  <c r="B25" i="15"/>
  <c r="E32" i="14"/>
  <c r="E33" i="14" s="1"/>
  <c r="E34" i="14" s="1"/>
  <c r="D32" i="14"/>
  <c r="D33" i="14" s="1"/>
  <c r="D34" i="14" s="1"/>
  <c r="B32" i="14"/>
  <c r="C26" i="14"/>
  <c r="E25" i="14"/>
  <c r="H25" i="14" s="1"/>
  <c r="I25" i="14" s="1"/>
  <c r="D25" i="14"/>
  <c r="B25" i="14"/>
  <c r="E24" i="14"/>
  <c r="E26" i="14" s="1"/>
  <c r="E27" i="14" s="1"/>
  <c r="D24" i="14"/>
  <c r="D26" i="14" s="1"/>
  <c r="B24" i="14"/>
  <c r="C36" i="14"/>
  <c r="D67" i="28" l="1"/>
  <c r="D68" i="28" s="1"/>
  <c r="D75" i="28" s="1"/>
  <c r="C68" i="28"/>
  <c r="C75" i="28" s="1"/>
  <c r="D56" i="28"/>
  <c r="D58" i="28" s="1"/>
  <c r="D74" i="28" s="1"/>
  <c r="C58" i="28"/>
  <c r="C74" i="28" s="1"/>
  <c r="D44" i="28"/>
  <c r="D46" i="28" s="1"/>
  <c r="D72" i="28" s="1"/>
  <c r="D76" i="28" s="1"/>
  <c r="D78" i="28" s="1"/>
  <c r="D81" i="28" s="1"/>
  <c r="C46" i="28"/>
  <c r="C72" i="28" s="1"/>
  <c r="D49" i="28"/>
  <c r="D50" i="28" s="1"/>
  <c r="D73" i="28" s="1"/>
  <c r="C50" i="28"/>
  <c r="C73" i="28" s="1"/>
  <c r="C76" i="28" s="1"/>
  <c r="D44" i="30"/>
  <c r="D46" i="30" s="1"/>
  <c r="D72" i="30" s="1"/>
  <c r="D76" i="30" s="1"/>
  <c r="D78" i="30" s="1"/>
  <c r="C46" i="30"/>
  <c r="C72" i="30" s="1"/>
  <c r="D49" i="30"/>
  <c r="D50" i="30" s="1"/>
  <c r="D73" i="30" s="1"/>
  <c r="C50" i="30"/>
  <c r="C73" i="30" s="1"/>
  <c r="D56" i="30"/>
  <c r="D58" i="30" s="1"/>
  <c r="D74" i="30" s="1"/>
  <c r="C58" i="30"/>
  <c r="C74" i="30" s="1"/>
  <c r="D67" i="30"/>
  <c r="D68" i="30" s="1"/>
  <c r="D75" i="30" s="1"/>
  <c r="C68" i="30"/>
  <c r="C75" i="30" s="1"/>
  <c r="E11" i="14"/>
  <c r="E12" i="15" s="1"/>
  <c r="D87" i="23"/>
  <c r="D88" i="23"/>
  <c r="D90" i="26"/>
  <c r="D90" i="20"/>
  <c r="D90" i="24"/>
  <c r="D90" i="22"/>
  <c r="D90" i="21"/>
  <c r="H24" i="14"/>
  <c r="H26" i="14" s="1"/>
  <c r="H27" i="14" s="1"/>
  <c r="F32" i="14"/>
  <c r="G32" i="14" s="1"/>
  <c r="G33" i="14" s="1"/>
  <c r="F34" i="14"/>
  <c r="D90" i="27"/>
  <c r="D85" i="23"/>
  <c r="D84" i="23"/>
  <c r="F26" i="15"/>
  <c r="G26" i="15" s="1"/>
  <c r="H33" i="15"/>
  <c r="H34" i="15" s="1"/>
  <c r="H35" i="15" s="1"/>
  <c r="I25" i="15"/>
  <c r="I28" i="15" s="1"/>
  <c r="H27" i="15"/>
  <c r="H28" i="15" s="1"/>
  <c r="E35" i="15"/>
  <c r="F35" i="15" s="1"/>
  <c r="F34" i="15"/>
  <c r="C37" i="15"/>
  <c r="C62" i="15"/>
  <c r="F25" i="15"/>
  <c r="G25" i="15" s="1"/>
  <c r="G27" i="15" s="1"/>
  <c r="E27" i="15"/>
  <c r="F33" i="15"/>
  <c r="G33" i="15" s="1"/>
  <c r="G34" i="15" s="1"/>
  <c r="D27" i="14"/>
  <c r="F27" i="14" s="1"/>
  <c r="F26" i="14"/>
  <c r="F25" i="14"/>
  <c r="G25" i="14" s="1"/>
  <c r="H32" i="14"/>
  <c r="F33" i="14"/>
  <c r="F24" i="14"/>
  <c r="G24" i="14" s="1"/>
  <c r="C76" i="30" l="1"/>
  <c r="D82" i="28"/>
  <c r="D93" i="28" s="1"/>
  <c r="D81" i="30"/>
  <c r="I33" i="15"/>
  <c r="I35" i="15" s="1"/>
  <c r="D90" i="23"/>
  <c r="I24" i="14"/>
  <c r="I27" i="14" s="1"/>
  <c r="E28" i="15"/>
  <c r="F28" i="15" s="1"/>
  <c r="F27" i="15"/>
  <c r="H33" i="14"/>
  <c r="H34" i="14" s="1"/>
  <c r="I32" i="14"/>
  <c r="I34" i="14" s="1"/>
  <c r="G26" i="14"/>
  <c r="E16" i="14" l="1"/>
  <c r="D87" i="28"/>
  <c r="D88" i="28"/>
  <c r="D85" i="28"/>
  <c r="D84" i="28"/>
  <c r="D90" i="28" s="1"/>
  <c r="D82" i="30"/>
  <c r="D93" i="30" s="1"/>
  <c r="L17" i="15"/>
  <c r="L16" i="15"/>
  <c r="L15" i="15"/>
  <c r="L14" i="15"/>
  <c r="L12" i="15"/>
  <c r="L11" i="15"/>
  <c r="L8" i="15"/>
  <c r="L7" i="15"/>
  <c r="E17" i="15" l="1"/>
  <c r="F16" i="14"/>
  <c r="H16" i="14"/>
  <c r="E18" i="14"/>
  <c r="D88" i="30"/>
  <c r="D87" i="30"/>
  <c r="D84" i="30"/>
  <c r="D85" i="30"/>
  <c r="L10" i="15"/>
  <c r="I16" i="14" l="1"/>
  <c r="K16" i="14" s="1"/>
  <c r="H17" i="15"/>
  <c r="I17" i="15" s="1"/>
  <c r="K17" i="15" s="1"/>
  <c r="G16" i="14"/>
  <c r="G17" i="15" s="1"/>
  <c r="F17" i="15"/>
  <c r="F18" i="14"/>
  <c r="H18" i="14"/>
  <c r="H19" i="14" s="1"/>
  <c r="E19" i="15"/>
  <c r="D90" i="30"/>
  <c r="F13" i="14"/>
  <c r="H13" i="14"/>
  <c r="F12" i="14"/>
  <c r="H12" i="14"/>
  <c r="H14" i="14"/>
  <c r="F14" i="14"/>
  <c r="H19" i="15" l="1"/>
  <c r="I19" i="15" s="1"/>
  <c r="K19" i="15" s="1"/>
  <c r="I18" i="14"/>
  <c r="K18" i="14" s="1"/>
  <c r="F19" i="15"/>
  <c r="G18" i="14"/>
  <c r="G19" i="15" s="1"/>
  <c r="I14" i="14"/>
  <c r="K14" i="14" s="1"/>
  <c r="H15" i="15"/>
  <c r="I15" i="15" s="1"/>
  <c r="K15" i="15" s="1"/>
  <c r="G13" i="14"/>
  <c r="G14" i="15" s="1"/>
  <c r="F14" i="15"/>
  <c r="I12" i="14"/>
  <c r="K12" i="14" s="1"/>
  <c r="H13" i="15"/>
  <c r="I13" i="15" s="1"/>
  <c r="K13" i="15" s="1"/>
  <c r="G12" i="14"/>
  <c r="G13" i="15" s="1"/>
  <c r="F13" i="15"/>
  <c r="G14" i="14"/>
  <c r="G15" i="15" s="1"/>
  <c r="F15" i="15"/>
  <c r="I13" i="14"/>
  <c r="K13" i="14" s="1"/>
  <c r="H14" i="15"/>
  <c r="I14" i="15" s="1"/>
  <c r="K14" i="15" s="1"/>
  <c r="F6" i="14"/>
  <c r="H6" i="14"/>
  <c r="H7" i="14"/>
  <c r="F7" i="14"/>
  <c r="H11" i="14"/>
  <c r="F11" i="14"/>
  <c r="F9" i="14"/>
  <c r="H9" i="14"/>
  <c r="H15" i="14"/>
  <c r="F15" i="14"/>
  <c r="I9" i="14" l="1"/>
  <c r="K9" i="14" s="1"/>
  <c r="H10" i="15"/>
  <c r="I10" i="15" s="1"/>
  <c r="K10" i="15" s="1"/>
  <c r="G9" i="14"/>
  <c r="G10" i="15" s="1"/>
  <c r="F10" i="15"/>
  <c r="G15" i="14"/>
  <c r="G16" i="15" s="1"/>
  <c r="F16" i="15"/>
  <c r="G11" i="14"/>
  <c r="G12" i="15" s="1"/>
  <c r="F12" i="15"/>
  <c r="I15" i="14"/>
  <c r="K15" i="14" s="1"/>
  <c r="H16" i="15"/>
  <c r="I16" i="15" s="1"/>
  <c r="K16" i="15" s="1"/>
  <c r="I11" i="14"/>
  <c r="K11" i="14" s="1"/>
  <c r="H12" i="15"/>
  <c r="I12" i="15" s="1"/>
  <c r="K12" i="15" s="1"/>
  <c r="G7" i="14"/>
  <c r="G8" i="15" s="1"/>
  <c r="F8" i="15"/>
  <c r="I7" i="14"/>
  <c r="K7" i="14" s="1"/>
  <c r="H8" i="15"/>
  <c r="I8" i="15" s="1"/>
  <c r="K8" i="15" s="1"/>
  <c r="I6" i="14"/>
  <c r="K6" i="14" s="1"/>
  <c r="H7" i="15"/>
  <c r="I7" i="15" s="1"/>
  <c r="K7" i="15" s="1"/>
  <c r="G6" i="14"/>
  <c r="G7" i="15" s="1"/>
  <c r="F7" i="15"/>
  <c r="F8" i="14"/>
  <c r="H8" i="14"/>
  <c r="H10" i="14"/>
  <c r="F10" i="14"/>
  <c r="G8" i="14" l="1"/>
  <c r="G9" i="15" s="1"/>
  <c r="F9" i="15"/>
  <c r="G10" i="14"/>
  <c r="G11" i="15" s="1"/>
  <c r="F11" i="15"/>
  <c r="I10" i="14"/>
  <c r="K10" i="14" s="1"/>
  <c r="H11" i="15"/>
  <c r="I11" i="15" s="1"/>
  <c r="K11" i="15" s="1"/>
  <c r="I8" i="14"/>
  <c r="K8" i="14" s="1"/>
  <c r="H9" i="15"/>
  <c r="I9" i="15" s="1"/>
  <c r="K9" i="15" s="1"/>
  <c r="C66" i="1"/>
  <c r="C53" i="1"/>
  <c r="C43" i="1"/>
  <c r="D29" i="1"/>
  <c r="D22" i="1"/>
  <c r="D14" i="1"/>
  <c r="D5" i="14" s="1"/>
  <c r="D6" i="15" s="1"/>
  <c r="D20" i="15" s="1"/>
  <c r="E19" i="14" l="1"/>
  <c r="D19" i="14"/>
  <c r="D32" i="1"/>
  <c r="D60" i="1"/>
  <c r="D36" i="1"/>
  <c r="D53" i="1"/>
  <c r="C40" i="1"/>
  <c r="C56" i="1" s="1"/>
  <c r="D56" i="1" s="1"/>
  <c r="D64" i="1"/>
  <c r="D33" i="1"/>
  <c r="D37" i="1"/>
  <c r="D48" i="1"/>
  <c r="D54" i="1"/>
  <c r="D57" i="1"/>
  <c r="D61" i="1"/>
  <c r="D65" i="1"/>
  <c r="D34" i="1"/>
  <c r="D38" i="1"/>
  <c r="D42" i="1"/>
  <c r="D43" i="1" s="1"/>
  <c r="D52" i="1"/>
  <c r="D55" i="1"/>
  <c r="D62" i="1"/>
  <c r="C90" i="1"/>
  <c r="D35" i="1"/>
  <c r="D39" i="1"/>
  <c r="D63" i="1"/>
  <c r="D66" i="1"/>
  <c r="C44" i="1" l="1"/>
  <c r="D44" i="1" s="1"/>
  <c r="D46" i="1" s="1"/>
  <c r="D72" i="1" s="1"/>
  <c r="C58" i="1"/>
  <c r="C74" i="1" s="1"/>
  <c r="C71" i="1"/>
  <c r="C46" i="1"/>
  <c r="C72" i="1" s="1"/>
  <c r="C67" i="1"/>
  <c r="D67" i="1" s="1"/>
  <c r="D68" i="1" s="1"/>
  <c r="D75" i="1" s="1"/>
  <c r="C49" i="1"/>
  <c r="D49" i="1" s="1"/>
  <c r="D50" i="1" s="1"/>
  <c r="D73" i="1" s="1"/>
  <c r="D40" i="1"/>
  <c r="D71" i="1" s="1"/>
  <c r="D58" i="1"/>
  <c r="D74" i="1" s="1"/>
  <c r="D36" i="14" l="1"/>
  <c r="D37" i="14" s="1"/>
  <c r="D20" i="14"/>
  <c r="C50" i="1"/>
  <c r="C73" i="1" s="1"/>
  <c r="L6" i="15"/>
  <c r="C68" i="1"/>
  <c r="C75" i="1" s="1"/>
  <c r="D76" i="1"/>
  <c r="D78" i="1" s="1"/>
  <c r="D81" i="1" s="1"/>
  <c r="C76" i="1" l="1"/>
  <c r="D62" i="15"/>
  <c r="D21" i="15"/>
  <c r="D63" i="15" s="1"/>
  <c r="D37" i="15"/>
  <c r="D38" i="15" s="1"/>
  <c r="D82" i="1"/>
  <c r="D93" i="1" s="1"/>
  <c r="E5" i="14" l="1"/>
  <c r="E6" i="15" s="1"/>
  <c r="E20" i="15" s="1"/>
  <c r="D84" i="1"/>
  <c r="D85" i="1"/>
  <c r="H5" i="14" l="1"/>
  <c r="I5" i="14" s="1"/>
  <c r="F5" i="14"/>
  <c r="E37" i="15"/>
  <c r="E36" i="14"/>
  <c r="E20" i="14"/>
  <c r="D90" i="1"/>
  <c r="I20" i="14" l="1"/>
  <c r="K20" i="14" s="1"/>
  <c r="K5" i="14"/>
  <c r="G5" i="14"/>
  <c r="F6" i="15"/>
  <c r="H6" i="15"/>
  <c r="F20" i="15"/>
  <c r="E21" i="15"/>
  <c r="E38" i="15"/>
  <c r="F38" i="15" s="1"/>
  <c r="F37" i="15"/>
  <c r="I37" i="14"/>
  <c r="E37" i="14"/>
  <c r="F37" i="14" s="1"/>
  <c r="F36" i="14"/>
  <c r="G19" i="14" l="1"/>
  <c r="G6" i="15"/>
  <c r="G36" i="14"/>
  <c r="I6" i="15"/>
  <c r="K6" i="15" s="1"/>
  <c r="H20" i="15"/>
  <c r="F21" i="15"/>
  <c r="H37" i="15" l="1"/>
  <c r="H38" i="15" s="1"/>
  <c r="G20" i="15"/>
  <c r="G37" i="15"/>
  <c r="I21" i="15"/>
  <c r="I38" i="15"/>
  <c r="K21" i="15" l="1"/>
  <c r="I7" i="32"/>
  <c r="H44" i="15"/>
  <c r="H53" i="15"/>
  <c r="I53" i="15" s="1"/>
  <c r="K53" i="15" s="1"/>
  <c r="H47" i="15"/>
  <c r="I47" i="15" s="1"/>
  <c r="K47" i="15" s="1"/>
  <c r="F57" i="15"/>
  <c r="F62" i="15" s="1"/>
  <c r="H50" i="15"/>
  <c r="I50" i="15" s="1"/>
  <c r="K50" i="15" s="1"/>
  <c r="H51" i="15"/>
  <c r="I51" i="15" s="1"/>
  <c r="K51" i="15" s="1"/>
  <c r="H49" i="15"/>
  <c r="I49" i="15" s="1"/>
  <c r="K49" i="15" s="1"/>
  <c r="H48" i="15"/>
  <c r="I48" i="15" s="1"/>
  <c r="K48" i="15" s="1"/>
  <c r="H52" i="15"/>
  <c r="I52" i="15" s="1"/>
  <c r="K52" i="15" s="1"/>
  <c r="H45" i="15"/>
  <c r="I45" i="15" s="1"/>
  <c r="K45" i="15" s="1"/>
  <c r="H46" i="15"/>
  <c r="I46" i="15" s="1"/>
  <c r="K46" i="15" s="1"/>
  <c r="J7" i="32" l="1"/>
  <c r="J13" i="32" s="1"/>
  <c r="I44" i="15"/>
  <c r="H57" i="15"/>
  <c r="H62" i="15" s="1"/>
  <c r="G62" i="15"/>
  <c r="E62" i="15"/>
  <c r="E58" i="15"/>
  <c r="I58" i="15" l="1"/>
  <c r="K44" i="15"/>
  <c r="I64" i="15"/>
  <c r="E63" i="15"/>
  <c r="F58" i="15"/>
  <c r="F63" i="15" s="1"/>
  <c r="I63" i="15" l="1"/>
  <c r="D67" i="15"/>
  <c r="K58" i="15"/>
  <c r="T12" i="32"/>
  <c r="K64" i="15" l="1"/>
  <c r="K63" i="15"/>
  <c r="H36" i="14"/>
  <c r="H37" i="14" s="1"/>
</calcChain>
</file>

<file path=xl/sharedStrings.xml><?xml version="1.0" encoding="utf-8"?>
<sst xmlns="http://schemas.openxmlformats.org/spreadsheetml/2006/main" count="2031" uniqueCount="290">
  <si>
    <t>PLANILHA DE ESTIMATIVA DE CUSTOS - LUCRO REAL
CONFORME IN nº 02/2008, atualizada até a IN nº 04/2015</t>
  </si>
  <si>
    <t xml:space="preserve">CATEGORIA </t>
  </si>
  <si>
    <t>CCT</t>
  </si>
  <si>
    <t>DATA BASE</t>
  </si>
  <si>
    <t>1º/01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</si>
  <si>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</si>
  <si>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</si>
  <si>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</si>
  <si>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</si>
  <si>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</si>
  <si>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</si>
  <si>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</si>
  <si>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</si>
  <si>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</si>
  <si>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</si>
  <si>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</si>
  <si>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</si>
  <si>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 xml:space="preserve">Cesta Básica </t>
  </si>
  <si>
    <t>TOTAL DOS BENEFÍCIOS MENSAIS E DIÁRIOS</t>
  </si>
  <si>
    <t>MÓDULO 3- INSUMOS DIVERSOS</t>
  </si>
  <si>
    <t>Materiais de Consumo</t>
  </si>
  <si>
    <t>Outros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</si>
  <si>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</si>
  <si>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</si>
  <si>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</si>
  <si>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</si>
  <si>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</si>
  <si>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</si>
  <si>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</si>
  <si>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</si>
  <si>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</si>
  <si>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</si>
  <si>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</si>
  <si>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</si>
  <si>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</si>
  <si>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</si>
  <si>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</si>
  <si>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 xml:space="preserve">Subtotal 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</si>
  <si>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</si>
  <si>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</si>
  <si>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</si>
  <si>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</si>
  <si>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</si>
  <si>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</si>
  <si>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</si>
  <si>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Multa do FGTS e da Contribuição Social do Aviso Prévio Indenizado</t>
  </si>
  <si>
    <t>Aviso Prévio Trabalhado (art. 7º, inciso XXI, CF e 477, 487 e 491, CLT)</t>
  </si>
  <si>
    <t>Incidência do 4.1. sobre o Aviso Prévio Trabalhado</t>
  </si>
  <si>
    <t>Multa do FGTS e da Contribuição Social do Aviso Prévio trabalhado</t>
  </si>
  <si>
    <t>4.5. CUSTO DE REPOSIÇÃO DO PROFISSIONAL AUSENTE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</si>
  <si>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</si>
  <si>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</si>
  <si>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</si>
  <si>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</si>
  <si>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</si>
  <si>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</si>
  <si>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</si>
  <si>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</si>
  <si>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</si>
  <si>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</si>
  <si>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</si>
  <si>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</si>
  <si>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</si>
  <si>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</si>
  <si>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</si>
  <si>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</si>
  <si>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</si>
  <si>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</si>
  <si>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</si>
  <si>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</si>
  <si>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</si>
  <si>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</si>
  <si>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</si>
  <si>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</si>
  <si>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</si>
  <si>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</si>
  <si>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</si>
  <si>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</si>
  <si>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</si>
  <si>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</si>
  <si>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</si>
  <si>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</si>
  <si>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</si>
  <si>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</si>
  <si>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</si>
  <si>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</si>
  <si>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</si>
  <si>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</si>
  <si>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</si>
  <si>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>QTDE</t>
  </si>
  <si>
    <t>TOTAL MENSAL</t>
  </si>
  <si>
    <t>TOTAL ANUAL</t>
  </si>
  <si>
    <t>Item</t>
  </si>
  <si>
    <t>CATEGORIAS</t>
  </si>
  <si>
    <t>Remuneração
(Salário Base + Adicionais)</t>
  </si>
  <si>
    <t>Estimativa Unitária</t>
  </si>
  <si>
    <t>Fator K</t>
  </si>
  <si>
    <t>Fator K
(média ponderada)</t>
  </si>
  <si>
    <t>Custo Mensal</t>
  </si>
  <si>
    <t>Custo Anual</t>
  </si>
  <si>
    <t>GRUPO 2 - Categoria Apoio Administrativo Operacional (Itens 11 e 12) - RESUMO DA ESTIMATIVA</t>
  </si>
  <si>
    <t>Remuneração</t>
  </si>
  <si>
    <t>Item 13 - Categoria Apoio Técnico - RESUMO DA ESTIMATIVA</t>
  </si>
  <si>
    <t>CATEGORIA</t>
  </si>
  <si>
    <t>TOTAL MENSAL CONSOLIDADO</t>
  </si>
  <si>
    <t>TOTAL ANUAL CONSOLIDADO</t>
  </si>
  <si>
    <t>ESTIMATIVA SEM DESONERAÇÃO</t>
  </si>
  <si>
    <t>VARIAÇÃO</t>
  </si>
  <si>
    <t>Variação %</t>
  </si>
  <si>
    <t xml:space="preserve">CÁLCULO DO ADICIONAL NOTURNO </t>
  </si>
  <si>
    <t>Dados do Adicional noturno</t>
  </si>
  <si>
    <t>Categoria</t>
  </si>
  <si>
    <t>Horátio da Jornada</t>
  </si>
  <si>
    <t>Horário da Jornada</t>
  </si>
  <si>
    <t>SalárioTotal</t>
  </si>
  <si>
    <t>Horas Totais (mês)</t>
  </si>
  <si>
    <t>Dias Trabalhados que incide adicional noturno</t>
  </si>
  <si>
    <t>Horas Diurnas (dia)</t>
  </si>
  <si>
    <t>Horas Noturnas (dia)</t>
  </si>
  <si>
    <t>Percentual Adic. Noturno (Legislação: CLT, art. 73)</t>
  </si>
  <si>
    <t>Cálculo do Adicional Noturno</t>
  </si>
  <si>
    <t>Horas Noturna Mês</t>
  </si>
  <si>
    <t>Valor Hora Trabalhada</t>
  </si>
  <si>
    <t>Valor Hora Noturna</t>
  </si>
  <si>
    <t>19h às 7h</t>
  </si>
  <si>
    <t>RESUMO DA ESTIMATIVA (sem desoneração)</t>
  </si>
  <si>
    <t>SENGE-DF</t>
  </si>
  <si>
    <t>SINDISERVIÇOS-DF</t>
  </si>
  <si>
    <t>SINTEC-DF</t>
  </si>
  <si>
    <t>SUPERVISOR TÉCNICO COMANDO E AUTOMAÇÃO - 40 hrs</t>
  </si>
  <si>
    <t>ENCARREGADO - 44 hrs</t>
  </si>
  <si>
    <t>TÉCNICO ELETROMECÂNICO / AR-CONDICIONADO - 44 hras</t>
  </si>
  <si>
    <t>TÉCNICO EM COMANDO ELÉTRICO / AUTOMAÇÃO - 44hrs</t>
  </si>
  <si>
    <t>ELETROMECÂNICO DE AR-CONDICIONADO - 44hrs</t>
  </si>
  <si>
    <t>AUXILIAR DE MANUTENÇÃO - 44hrs</t>
  </si>
  <si>
    <t>AUXILIAR ADMINISTRATIVO - 44hrs</t>
  </si>
  <si>
    <t>AUXILIAR DE ALMOXARIFADO - 44hrs</t>
  </si>
  <si>
    <t>DUTEIRO - 44hrs</t>
  </si>
  <si>
    <t>ELETROMECÂNICO DE AR-CONDICIONADO PLANTONISTA - 12x36hrs - DIURNO</t>
  </si>
  <si>
    <t>ELETROMECÂNICO DE AR-CONDICIONADO PLANTONISTA - 12x36hrs - NOTURNO</t>
  </si>
  <si>
    <t>AUXILIAR DE MANUTENÇÃO PLANTONISTA - 12x36hrs - DIURNO</t>
  </si>
  <si>
    <t>AUXILIAR DE MANUTENÇÃO PLANTONISTA - 12x36hrs - NOTURNO</t>
  </si>
  <si>
    <t xml:space="preserve">SUPERVISOR TÉCNICO AR-CONDICIONADO - 40 hrs </t>
  </si>
  <si>
    <t>SINDUSCON-DF</t>
  </si>
  <si>
    <t>Auxilio Transporte ((5+2,50)x22 dias- 6% ) (Decreto nº 37.940/2016 - GDF)</t>
  </si>
  <si>
    <t xml:space="preserve">Auxilio Alimentação </t>
  </si>
  <si>
    <t xml:space="preserve">Assistência Odontológica </t>
  </si>
  <si>
    <t xml:space="preserve">Assistência Médica  </t>
  </si>
  <si>
    <t xml:space="preserve">Seguro de Vida em Grupo/Auxílio Funeral  </t>
  </si>
  <si>
    <t>Férias (conforme item C.1.2 - 62.4.1 do TR NUP00100.036274/2018-46-pág 26)</t>
  </si>
  <si>
    <t>Férias (conforme item C.1.2.1 - 62.4 do TR NUP00100.036274/2018-46-pág 26)</t>
  </si>
  <si>
    <t>Férias (conforme item C.1.2 - 62.4.2 do TR NUP00100.036274/2018-46-pág 26)</t>
  </si>
  <si>
    <t>Férias (conforme item C.1.2 - 62.4.4 do TR NUP00100.036274/2018-46-pág 26)</t>
  </si>
  <si>
    <t>Férias (conforme item C.1.2 - 62.4.3 do TR NUP00100.036274/2018-46-pág 26)</t>
  </si>
  <si>
    <t>Férias (conforme item C.1.2-62.4 do TR NUP 00100.036274-46-pág 26)</t>
  </si>
  <si>
    <t>Assistência Médica  (6º TA contrato nº 042/2014)</t>
  </si>
  <si>
    <t>MÓDULO 2 - BENEFÍCIOS MENSAIS E DIÁRIOS (Contrato atual 6º TA nº 042/2014)</t>
  </si>
  <si>
    <t>Custo 36 meses</t>
  </si>
  <si>
    <t xml:space="preserve">     MAPA DE COTAÇÕES</t>
  </si>
  <si>
    <t>Discriminação do serviço (especificações)</t>
  </si>
  <si>
    <t>Un.</t>
  </si>
  <si>
    <t>Qtde. Total (36 Meses)</t>
  </si>
  <si>
    <t>Quant. De Preços</t>
  </si>
  <si>
    <t>Preço Unitário de Referência (Sem Desconto nos Preços Referenciais)</t>
  </si>
  <si>
    <t>Preço Unitário de Referência (Com Desconto de 5% nos Preços Referenciais, conforme recomendação do Ministério Público)</t>
  </si>
  <si>
    <t>Critério</t>
  </si>
  <si>
    <t>Variação (%)</t>
  </si>
  <si>
    <t>Preços dos fornecedores (R$)</t>
  </si>
  <si>
    <t>Observação</t>
  </si>
  <si>
    <t>Sinapi</t>
  </si>
  <si>
    <t>Preços Referenciais com Desconto Recomendado Ministério Público (5%)</t>
  </si>
  <si>
    <t>Banco de Preços 1</t>
  </si>
  <si>
    <t>Banco de Preços 2</t>
  </si>
  <si>
    <t>Banco de Preços 3</t>
  </si>
  <si>
    <t>Internet 1</t>
  </si>
  <si>
    <t>Internet 2</t>
  </si>
  <si>
    <t>Internet 3</t>
  </si>
  <si>
    <t>Tabela 7 - Equipamentos de Proteção Individual</t>
  </si>
  <si>
    <t>7.1</t>
  </si>
  <si>
    <t xml:space="preserve">UNIFORMES - SUPERVISOR TÉCNICO - AR CONDICIONADO E SUPERVISOR TÉCNICO - AUTOMAÇÃO </t>
  </si>
  <si>
    <t>7.1.1</t>
  </si>
  <si>
    <t>Camisa social com clara identificação da empresa</t>
  </si>
  <si>
    <t xml:space="preserve">un </t>
  </si>
  <si>
    <t>Ok</t>
  </si>
  <si>
    <t>Mediana</t>
  </si>
  <si>
    <t>Pesquisa Simples</t>
  </si>
  <si>
    <t>7.1.2</t>
  </si>
  <si>
    <t>Calça de material resistente e cor escura</t>
  </si>
  <si>
    <t>7.1.3</t>
  </si>
  <si>
    <t>Calçado fechado com solado antiderrapante</t>
  </si>
  <si>
    <t>par</t>
  </si>
  <si>
    <t>7.2</t>
  </si>
  <si>
    <t>UNIFORMES - DEMAIS FUNCIONÁRIOS</t>
  </si>
  <si>
    <t>7.2.1</t>
  </si>
  <si>
    <t>Camisa ou jaleco em cor azul marinho com clara identificação da empresa na frente e os dizeres “Manutenção Predial” no verso</t>
  </si>
  <si>
    <t>7.2.2</t>
  </si>
  <si>
    <t>7.2.3</t>
  </si>
  <si>
    <t>Bota com solado de borracha:
- Fabricada em couro vaqueta com curtimento atravessado com 1,8/2,0 mm linhas de espessura;
- Com fechamento em elástico;
- Forração em tecido;
- Palmilha de montagem em taninodublada resistente à perfuração, fixada/costurada junto ao cabedal (processo Strobel);
- Com biqueira em composite;
- Com solado em poliuretano de bidensidade, bicolor, com sistema de absorção de impacto, injeto diretamente ao cabedal</t>
  </si>
  <si>
    <t>7.3</t>
  </si>
  <si>
    <t>EPI</t>
  </si>
  <si>
    <t>7.3.1</t>
  </si>
  <si>
    <t>Bota impermeável:
-Fabricada em PVC;
-Própria para a proteção dos pés e pernas contra umidade proveniente de operações com uso de água;
-Antiderrapante;
-Com numerações entre o 33 e o 46;
-Referência Comercial: Fujiwara Atlantis 88FPC600.</t>
  </si>
  <si>
    <t>Sinapi 00036145</t>
  </si>
  <si>
    <t>7.3.2</t>
  </si>
  <si>
    <t>Cinto de segurança tipo paraquedista:
- Cadarço de material poliéster ou poliamida com tratamento antichama (composto de Nomex / Kevlar ou similar), largura de 45mm +/- 5%, costurado com linha em cores contrastantes de poliamida ou poliéster tratamento antichama não propagante com carga mínima de ruptura de 20KN;
- Parte acolchoada constituída de espuma de polietileno reticulada perfurada, com espessura de 5mm, composta de 4 (quatro) camadas (ThermoForm), sendo:
1ª camada - de tecido de malha em nylon,
2ª camada - espuma de células fechadas de alta densidade,
3ª camada - espuma de células fechadas de média densidade,
4ª camada - células fechadas de baixa densidade.
- Cinturão abdominal com largura na extremidade de 80 mm, largura central de 180 mm e comprimento de 700 mm;
- Coxas com largura na extremidade de 70 mm, largura central de 110 mm e comprimento de 400 mm;
- Com 4 (quatro) fivelas em aço inox ou forjado, com sistema de engate rápido e ajuste, sendo uma para regulagem da correia da cintura, uma na alça superior do lado esquerdo e duas utilizadas para ajustes das pernas; carga de ruptura mínima de 18 KN;
- Com 5 (cinco) argolas em aço inox ou estampado, sem emendas ou soldas, em formato “D”, com carga de ruptura de 20 KN, sendo duas frontais, uma dorsal e duas laterais;
- Com 2 (dois) portas materiais constituídos de anéis plásticos sendo um em cada lateral;
- Com etiqueta no cinto com: a carga de ruptura, Certificado de Aprovação - CA, código e tamanho do cinturão, data, lote de fabricação e nome do fabricante;
- Com o certificado, original ou autenticado, dos testes conforme as normas NBR-11370 e CE-EN- 361 e EN-358 caso importado, realizado em laboratório oficial ou particular, reconhecidos por órgãos oficiais, para os seguintes ensaios: Teste de resistência estática, Teste de resistência dinâmica e Ensaio de inflamabilidade das fitas; 
- Com cópia autenticada do Certificado de Aprovação(CA) emitido pelo MTE conforme o subitem 6.5 da NR-06 Equipamento de Proteção Individual – EPI da Portaria 3214/78 Mtb e FUNDACENTRO</t>
  </si>
  <si>
    <t>Sinapi 00036148</t>
  </si>
  <si>
    <t>7.3.3</t>
  </si>
  <si>
    <t>Travaquedas:
- Sistema retrátil com fita de poliéster, composto de absorvedor de energia incorporado ao travaquedas;
- Largura de 18mm;
- Carga de trabalho máximo de 136 Kg;
- Resistência de ruptura mínima da fita 1200DaN;
- Temperatura de utilização: -40ºC a +60ºC,
- Limite de deslocamento pendular inferior a 30ºC e comprimento de 6,00m.
- Com o certificado, original ou autenticado, do teste conforme a norma EN-362, realizado em laboratório oficial ou particular reconhecidos por órgãos oficiais, para o seguinte ensaio: Teste de resistência estática e Teste de resistência dinâmica;
- Caso os equipamentos sejam importados atender ao subitem 6.8.1 da NR-06</t>
  </si>
  <si>
    <t>Sinapi 00036149</t>
  </si>
  <si>
    <t>7.3.4</t>
  </si>
  <si>
    <t>Capa de chuva com as seguintes características:
-Própria para proteção do tronco e membros superiores do usuário contra umidade proveniente de operações com uso de água e contra agentes meteorológicos;
-Impermeável, com capuz e mangas longas;
-Referência Comercial: Maicol CA 28191.</t>
  </si>
  <si>
    <t>Sinapi 00012894</t>
  </si>
  <si>
    <t>7.3.5</t>
  </si>
  <si>
    <t xml:space="preserve">Avental de raspa de couro para soldador, tipo barbeiro, com as seguintes características:
-Confeccionado em raspa de couro curtido;
-Com espessura média de 1,5 mm e gramatura de 0,815 kg/m²;
-Com fivela metálica;
-Sem emendas;
-Com elásticos nas costas;
-Sem gola;
-Com elásticos nas mangas;
-Classe 2 segundo a norma ISO 11611;
-Classificado como Y2B3C3DXEXF3 segundo norma ISO 11612;
-Referência Comercial: Zanel AVB-12060SESG.
</t>
  </si>
  <si>
    <t>Sinapi 00036150</t>
  </si>
  <si>
    <t>7.3.6</t>
  </si>
  <si>
    <t xml:space="preserve">Avental impermeável:
- PVC dupla face laminado com trama de nylon;
- Ilhoses no peito e cintura para fixação de cadarço de ajuste;
- Espessura 0,35 mm;
- Apresentar certificado de aprovação em ensaio previsto na Norma BS 3546:1977;
- Dimensões 1,2 x 0,7m;
- Referência Comercial: Prot-Cap Trevira KP 400 </t>
  </si>
  <si>
    <t>7.3.7</t>
  </si>
  <si>
    <t>Óculos de segurança com proteção lateral total:
-Acompanhado de Certificado de Aprovação;
-Lente incolor, de proteção, em policarbonato óptico, com tratamento anti-risco;
-Com proteção lateral acoplada;
-Com cordão de segurança;
-Com hastes com ajuste telescópico;
-Referência Comercial: 3M Vision 3000 HB004003107.</t>
  </si>
  <si>
    <t>Sinapi 00036152</t>
  </si>
  <si>
    <t>7.3.8</t>
  </si>
  <si>
    <t>Protetor Facial:
- Cor transparente;
- Visor em policarbonato;
- Ajuste com catraca;
- Certificado de aprovação CA 18995;
- Alto impacto segundo norma ANSI Z87.1;
- Referência Comercial: 3M WP96</t>
  </si>
  <si>
    <t>7.3.9</t>
  </si>
  <si>
    <t>Protetor auricular tipo abafador:
-Acompanhado de Certificado de Aprovação;
-Protetor auditivo, tipo concha;
-Haste fixa acima da cabeça;
-Haste almofadada com armação em aço;
-Construção em aço mola inoxidável;
-Almofadas com fluido e espuma;
-Atenuação de 23 dB (NRRsf);
-Não possuir parte metálica visível;
-Referência Comercial: 3M Peltor H10A.</t>
  </si>
  <si>
    <t>Sinapi 00036143</t>
  </si>
  <si>
    <t>7.3.10</t>
  </si>
  <si>
    <t>Protetor auditivo flexível de inserção:
-Acompanhado de Certificado de Aprovação;
-Fabricado em silicone farmacêutico (antialérgico);
-Cordão em PVC;
-Acompanhado de estojo para armazenamento e transporte;
-Atenuação de 17 dB (NRRsf);
-Referência Comercial: 3M Pomp Plus.</t>
  </si>
  <si>
    <t xml:space="preserve">par </t>
  </si>
  <si>
    <t>Sinapi 00036142</t>
  </si>
  <si>
    <t>7.3.11</t>
  </si>
  <si>
    <t>Capacete de proteção com as seguintes características:
-Capacete com aba frontal (tipo II) classe B;
-Fabricado em plástico injetado (polietileto, ABS ou policarbonato);
-Com alta resistência mecânica a impactos e perfurações;
-Resistente à ação química e absorção de água;
-De combustão lenta;
-Material não condutor de eletricidade com propriedade dielétrica e isolamento para média tensão (20 kV);
-A carneira, a coroa e a jugular devem ser fabricadas em materiais antialérgicos;
-Casco moldado em peça única e rígida, sem emendas nem furos passantes, somente com fendas laterais (slots) para acoplagem de acessórios de uso conjugado, sem anéis, ponteiras, amarrações ou partes metálicas de qualquer espécie;
-Tira ajustável ligada à carneira que, passando por trás da cabeça, prende o capacete à mesma; de plástico
flexível ou composição de plástico flexível e náilon, ajustáveis de modo que ofereçam conforto ao usuário;
-Com tira absorvente de suor: revestimento da parte frontal da carneira que fica em contato com a testa do usuário, constituída de material dupla face; uma das faces deve ser de feita de material antialérgico, lavável, liso e perfurado facilitando a absorção de suor e ventilação do local de contato com a pele do usuário; A outra face deve ser de material antialérgico, macio e acolchoado, adequado à absorção de suor, recobrindo a porção frontal da que fica junto à testa do usuário;
-Deverá trazer estampado na parte posterior da aba o nome do fabricante, a classe, o número do Certificado de Aprovação (CA) e a data de fabricação (mês e ano);
-Referência Comercial: 3M H-700.</t>
  </si>
  <si>
    <t>Sinapi 00012895</t>
  </si>
  <si>
    <t>7.3.12</t>
  </si>
  <si>
    <t>Luva de trabalho:
-Luva flexível e com proteção nos dedos e palma da mão;
-Fabricada em neoprene, impermeável e antitranspirante;
-Referência Comercial: Irwin 14102.</t>
  </si>
  <si>
    <t>7.3.13</t>
  </si>
  <si>
    <t>Luva de proteção para soldadores:
-Fabricada em couro tratado;
-Própria para atividade de solda;
-Com forração térmica e reforço na face palmar;
-Resistente à abrasão, ao corte por lâmina, ao rasgamento, à perfuração por punção segundo a norma EN 388/2003;
-Resistente ao fogo, ao calor de contato, ao calor convectico, ao calor radiante, à pequenas projeções de metal em fusão, à grandes projeções de metal em fusão segundo a norma EN 407/2004;
-Referência Comercial: Danny Powersolda.</t>
  </si>
  <si>
    <t>Sinapi 00012892</t>
  </si>
  <si>
    <t>7.3.14</t>
  </si>
  <si>
    <t>Luva de raspa de couro ou raspa</t>
  </si>
  <si>
    <t>7.3.15</t>
  </si>
  <si>
    <t>Luva latex cano curto</t>
  </si>
  <si>
    <t>7.3.16</t>
  </si>
  <si>
    <t>Luva latex cano longo</t>
  </si>
  <si>
    <t>7.3.17</t>
  </si>
  <si>
    <t>Luva malha tricotada em fios de algodão</t>
  </si>
  <si>
    <t>7.3.18</t>
  </si>
  <si>
    <t>Luva PVC</t>
  </si>
  <si>
    <t>7.3.19</t>
  </si>
  <si>
    <t>Luva isolante:
- Luva isolante de borracha;
- Luvas do tipo II, resistentes ao ozônio;
- Ensaiadas para tensões de 5000 V (classe 0);
- Próprias para uso em tensões de até 1000 V (classe 0);
- Nos tamanhos P, M ou G;
- Com marcação indicando: tipo, classe, tamanho, norma, número de certificado de aprovação e número de série;
- De acordo com as normas NBR 10622, ASTM D120 e IEC 60903;
- Referência Comercial: Orion</t>
  </si>
  <si>
    <t>7.3.20</t>
  </si>
  <si>
    <t>Manga de proteção em couro</t>
  </si>
  <si>
    <t>Sinapi 00036151</t>
  </si>
  <si>
    <t>7.3.21</t>
  </si>
  <si>
    <t>Manga de proteção UV:
- Autoajustável ao braço do usuário</t>
  </si>
  <si>
    <t>7.3.22</t>
  </si>
  <si>
    <t>Máscara de proteção respiratória com válvula e com película de carbono FFP2</t>
  </si>
  <si>
    <t>7.3.23</t>
  </si>
  <si>
    <t>Máscara descartável tipo P1</t>
  </si>
  <si>
    <t>7.3.24</t>
  </si>
  <si>
    <t>Máscara contra gases</t>
  </si>
  <si>
    <t>Nenhum Preço</t>
  </si>
  <si>
    <t>1 Preço</t>
  </si>
  <si>
    <t>2 Preços</t>
  </si>
  <si>
    <t>3 ou + Preços</t>
  </si>
  <si>
    <t>Total de Itens</t>
  </si>
  <si>
    <t>% da Pesquisa</t>
  </si>
  <si>
    <t>Prazo Contratual</t>
  </si>
  <si>
    <t>Equipamentos de Proteção Individual (EPI)</t>
  </si>
  <si>
    <t xml:space="preserve">Uniforme </t>
  </si>
  <si>
    <t xml:space="preserve">Insumos Diversos </t>
  </si>
  <si>
    <t>COMPARATIVO 6º TERMO ADITIVO - CONTRATO Nº 42/2014 X ESTIMATIVA SEM DESONERAÇÃO- MÃO DE OBRA COM DEDICAÇÃO EXCLUSIVA</t>
  </si>
  <si>
    <t>6º TERMO ADITIVO - CONTRATO Nº 42/2014 - ENTHERM ENGENHARIA DE SISTEMAS TERMOMECÂNICOS LTDA-MÃO DE OBRA COM DEDICAÇÃO EXCLUSIVA</t>
  </si>
  <si>
    <t>RESUMO GERAL DOS CUSTOS POR ITEM</t>
  </si>
  <si>
    <t>ITEM</t>
  </si>
  <si>
    <t>DESCRIÇÃO</t>
  </si>
  <si>
    <t>Custo para 36 meses (R$)</t>
  </si>
  <si>
    <t>Custo anual 
(R$)</t>
  </si>
  <si>
    <t>Equipe de dedicação exclusiva</t>
  </si>
  <si>
    <t>Serviços Contínuos</t>
  </si>
  <si>
    <t>Serviços sob demanda</t>
  </si>
  <si>
    <t>Sistema de Ponto Eletrônico</t>
  </si>
  <si>
    <t>Materiais</t>
  </si>
  <si>
    <t>Depreciação Ferramental</t>
  </si>
  <si>
    <t>TOTAL</t>
  </si>
  <si>
    <t>Equipamentos de Proteção Individual (*)</t>
  </si>
  <si>
    <t>* Custos incluídos na planilha do Item 1</t>
  </si>
  <si>
    <t>RESUMO GERAL DOS CUSTOS POR ITEM - CONTRATO Nº 42/2014</t>
  </si>
  <si>
    <t>Demais serviços sob demanda</t>
  </si>
  <si>
    <t>Custo para 36 meses</t>
  </si>
  <si>
    <t>Custo Mensal 
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</si>
</sst>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mmmm\-yy"/>
    <numFmt numFmtId="165" formatCode="&quot;R$&quot;#,##0.00"/>
    <numFmt numFmtId="166" formatCode="_(* #,##0.00_);_(* \(#,##0.00\);_(* &quot;-&quot;??_);_(@_)"/>
    <numFmt numFmtId="167" formatCode="0.0%"/>
    <numFmt numFmtId="168" formatCode="&quot;R$&quot;\ #,##0.00"/>
    <numFmt numFmtId="169" formatCode="_(&quot;R$&quot;* #,##0.00_);_(&quot;R$&quot;* \(#,##0.00\);_(&quot;R$&quot;* &quot;-&quot;??_);_(@_)"/>
    <numFmt numFmtId="170" formatCode="0.00000"/>
    <numFmt numFmtId="171" formatCode="_(* #,##0.00000_);_(* \(#,##0.00000\);_(* &quot;-&quot;??_);_(@_)"/>
    <numFmt numFmtId="172" formatCode="_-&quot;R$&quot;\ * #,##0.00_-;\-&quot;R$&quot;\ * #,##0.00_-;_-&quot;R$&quot;\ * &quot;-&quot;??_-;_-@_-"/>
    <numFmt numFmtId="173" formatCode="_(* #,##0.000000_);_(* \(#,##0.000000\);_(* &quot;-&quot;??_);_(@_)"/>
    <numFmt numFmtId="174" formatCode="_(&quot;R$ &quot;* #,##0.00_);_(&quot;R$ &quot;* \(#,##0.00\);_(&quot;R$ &quot;* &quot;-&quot;??_);_(@_)"/>
    <numFmt numFmtId="175" formatCode="_(* #,##0.00_);_(* \(#,##0.00\);_(* \-??_);_(@_)"/>
  </numFmts>
  <fonts count="45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color indexed="60"/>
      <name val="Arial"/>
      <family val="2"/>
    </font>
    <font>
      <b/>
      <sz val="8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sz val="14"/>
      <name val="Arial"/>
      <family val="2"/>
    </font>
    <font>
      <b/>
      <i/>
      <sz val="12"/>
      <name val="Arial"/>
      <family val="2"/>
    </font>
    <font>
      <b/>
      <sz val="12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4"/>
      <name val="Calibri"/>
      <family val="2"/>
      <scheme val="minor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2"/>
      <name val="Verdana"/>
      <family val="2"/>
    </font>
    <font>
      <b/>
      <i/>
      <sz val="10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9"/>
      <color rgb="FF00206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Times New Roman"/>
      <family val="1"/>
    </font>
    <font>
      <sz val="12"/>
      <color theme="0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color theme="0"/>
      <name val="Times New Roman"/>
      <family val="1"/>
    </font>
    <font>
      <b/>
      <sz val="12"/>
      <color rgb="FFFF0000"/>
      <name val="Times New Roman"/>
      <family val="1"/>
    </font>
    <font>
      <sz val="9"/>
      <color indexed="12"/>
      <name val="Arial"/>
      <family val="2"/>
    </font>
    <font>
      <sz val="10"/>
      <color indexed="12"/>
      <name val="Arial"/>
      <family val="2"/>
    </font>
    <font>
      <b/>
      <sz val="14"/>
      <color theme="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64"/>
      </bottom>
      <diagonal/>
    </border>
    <border>
      <left/>
      <right style="medium">
        <color indexed="64"/>
      </right>
      <top style="thin">
        <color indexed="8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9">
    <xf numFmtId="0" fontId="0" fillId="0" borderId="0"/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6" fillId="0" borderId="1" applyNumberFormat="0" applyFont="0" applyFill="0" applyAlignment="0" applyProtection="0">
      <alignment horizontal="center" vertical="center" wrapText="1"/>
    </xf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6" fillId="0" borderId="1" applyNumberFormat="0" applyFont="0" applyFill="0" applyAlignment="0" applyProtection="0">
      <alignment horizontal="center" vertical="center" wrapText="1"/>
    </xf>
    <xf numFmtId="166" fontId="19" fillId="0" borderId="0" applyFont="0" applyFill="0" applyBorder="0" applyAlignment="0" applyProtection="0"/>
    <xf numFmtId="169" fontId="3" fillId="0" borderId="0" applyFont="0" applyFill="0" applyBorder="0" applyAlignment="0" applyProtection="0"/>
    <xf numFmtId="166" fontId="19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>
      <protection locked="0"/>
    </xf>
    <xf numFmtId="0" fontId="3" fillId="0" borderId="0"/>
    <xf numFmtId="175" fontId="3" fillId="0" borderId="0" applyFont="0" applyFill="0" applyAlignment="0" applyProtection="0"/>
    <xf numFmtId="172" fontId="3" fillId="0" borderId="0" applyFont="0" applyFill="0" applyBorder="0" applyAlignment="0" applyProtection="0"/>
    <xf numFmtId="0" fontId="3" fillId="0" borderId="0">
      <protection locked="0"/>
    </xf>
  </cellStyleXfs>
  <cellXfs count="309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4" fontId="6" fillId="4" borderId="1" xfId="0" applyNumberFormat="1" applyFont="1" applyFill="1" applyBorder="1" applyAlignment="1">
      <alignment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7" fontId="9" fillId="0" borderId="1" xfId="2" applyNumberFormat="1" applyFont="1" applyBorder="1" applyAlignment="1">
      <alignment vertical="center"/>
    </xf>
    <xf numFmtId="166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66" fontId="4" fillId="4" borderId="1" xfId="3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168" fontId="4" fillId="0" borderId="0" xfId="0" applyNumberFormat="1" applyFont="1"/>
    <xf numFmtId="0" fontId="7" fillId="5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10" fontId="1" fillId="0" borderId="1" xfId="2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166" fontId="4" fillId="0" borderId="1" xfId="0" applyNumberFormat="1" applyFont="1" applyBorder="1" applyAlignment="1">
      <alignment vertical="center"/>
    </xf>
    <xf numFmtId="10" fontId="1" fillId="4" borderId="1" xfId="2" applyNumberFormat="1" applyFont="1" applyFill="1" applyBorder="1" applyAlignment="1" applyProtection="1">
      <alignment horizontal="right" vertical="center"/>
      <protection locked="0"/>
    </xf>
    <xf numFmtId="10" fontId="4" fillId="0" borderId="1" xfId="2" applyNumberFormat="1" applyFont="1" applyBorder="1" applyAlignment="1">
      <alignment vertical="center"/>
    </xf>
    <xf numFmtId="0" fontId="8" fillId="7" borderId="1" xfId="0" applyFont="1" applyFill="1" applyBorder="1" applyAlignment="1">
      <alignment horizontal="right" vertical="center"/>
    </xf>
    <xf numFmtId="10" fontId="9" fillId="7" borderId="1" xfId="2" applyNumberFormat="1" applyFont="1" applyFill="1" applyBorder="1" applyAlignment="1" applyProtection="1">
      <alignment vertical="center"/>
      <protection hidden="1"/>
    </xf>
    <xf numFmtId="166" fontId="9" fillId="7" borderId="1" xfId="2" applyNumberFormat="1" applyFont="1" applyFill="1" applyBorder="1" applyAlignment="1" applyProtection="1">
      <alignment vertical="center"/>
      <protection hidden="1"/>
    </xf>
    <xf numFmtId="0" fontId="11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6" fontId="1" fillId="0" borderId="1" xfId="0" applyNumberFormat="1" applyFont="1" applyBorder="1" applyAlignment="1" applyProtection="1">
      <alignment horizontal="center"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0" fontId="1" fillId="0" borderId="1" xfId="2" applyNumberFormat="1" applyFont="1" applyBorder="1" applyAlignment="1" applyProtection="1">
      <alignment vertical="center"/>
      <protection hidden="1"/>
    </xf>
    <xf numFmtId="166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166" fontId="4" fillId="4" borderId="1" xfId="0" applyNumberFormat="1" applyFont="1" applyFill="1" applyBorder="1" applyAlignment="1" applyProtection="1">
      <alignment vertical="center"/>
      <protection hidden="1"/>
    </xf>
    <xf numFmtId="166" fontId="4" fillId="0" borderId="1" xfId="0" applyNumberFormat="1" applyFont="1" applyFill="1" applyBorder="1" applyAlignment="1" applyProtection="1">
      <alignment vertical="center"/>
      <protection hidden="1"/>
    </xf>
    <xf numFmtId="0" fontId="8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0" fontId="4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Fill="1" applyBorder="1" applyAlignment="1">
      <alignment vertical="center"/>
    </xf>
    <xf numFmtId="166" fontId="4" fillId="0" borderId="1" xfId="0" applyNumberFormat="1" applyFont="1" applyFill="1" applyBorder="1" applyAlignment="1">
      <alignment vertical="center"/>
    </xf>
    <xf numFmtId="10" fontId="1" fillId="0" borderId="1" xfId="2" applyNumberFormat="1" applyFont="1" applyFill="1" applyBorder="1" applyAlignment="1" applyProtection="1">
      <alignment vertical="center"/>
      <protection hidden="1"/>
    </xf>
    <xf numFmtId="0" fontId="7" fillId="5" borderId="1" xfId="0" applyFont="1" applyFill="1" applyBorder="1" applyAlignment="1" applyProtection="1">
      <alignment vertical="center"/>
      <protection hidden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 applyProtection="1">
      <alignment vertical="center"/>
      <protection hidden="1"/>
    </xf>
    <xf numFmtId="0" fontId="8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6" fontId="1" fillId="6" borderId="1" xfId="2" applyNumberFormat="1" applyFont="1" applyFill="1" applyBorder="1" applyAlignment="1" applyProtection="1">
      <alignment vertical="center"/>
      <protection hidden="1"/>
    </xf>
    <xf numFmtId="10" fontId="9" fillId="6" borderId="1" xfId="2" applyNumberFormat="1" applyFont="1" applyFill="1" applyBorder="1" applyAlignment="1" applyProtection="1">
      <alignment vertical="center"/>
      <protection hidden="1"/>
    </xf>
    <xf numFmtId="166" fontId="9" fillId="6" borderId="1" xfId="2" applyNumberFormat="1" applyFont="1" applyFill="1" applyBorder="1" applyAlignment="1" applyProtection="1">
      <alignment vertical="center"/>
      <protection hidden="1"/>
    </xf>
    <xf numFmtId="0" fontId="8" fillId="0" borderId="1" xfId="0" applyFont="1" applyBorder="1" applyAlignment="1">
      <alignment horizontal="right" vertical="center"/>
    </xf>
    <xf numFmtId="10" fontId="9" fillId="0" borderId="1" xfId="2" applyNumberFormat="1" applyFont="1" applyBorder="1" applyAlignment="1" applyProtection="1">
      <alignment vertical="center"/>
      <protection hidden="1"/>
    </xf>
    <xf numFmtId="166" fontId="9" fillId="0" borderId="1" xfId="2" applyNumberFormat="1" applyFont="1" applyBorder="1" applyAlignment="1" applyProtection="1">
      <alignment vertical="center"/>
      <protection hidden="1"/>
    </xf>
    <xf numFmtId="0" fontId="8" fillId="7" borderId="1" xfId="0" applyFont="1" applyFill="1" applyBorder="1" applyAlignment="1" applyProtection="1">
      <alignment vertical="center"/>
      <protection hidden="1"/>
    </xf>
    <xf numFmtId="168" fontId="1" fillId="6" borderId="1" xfId="2" applyNumberFormat="1" applyFont="1" applyFill="1" applyBorder="1" applyAlignment="1" applyProtection="1">
      <alignment vertical="center"/>
      <protection hidden="1"/>
    </xf>
    <xf numFmtId="0" fontId="8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69" fontId="4" fillId="0" borderId="0" xfId="1" applyFont="1"/>
    <xf numFmtId="0" fontId="1" fillId="0" borderId="1" xfId="0" applyFont="1" applyBorder="1"/>
    <xf numFmtId="168" fontId="4" fillId="0" borderId="0" xfId="3" applyNumberFormat="1" applyFont="1" applyBorder="1"/>
    <xf numFmtId="0" fontId="8" fillId="0" borderId="2" xfId="0" applyFont="1" applyBorder="1" applyAlignment="1">
      <alignment horizontal="center" vertical="center"/>
    </xf>
    <xf numFmtId="166" fontId="4" fillId="0" borderId="1" xfId="3" applyNumberFormat="1" applyFont="1" applyFill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0" fontId="4" fillId="6" borderId="1" xfId="2" applyNumberFormat="1" applyFont="1" applyFill="1" applyBorder="1" applyProtection="1">
      <protection hidden="1"/>
    </xf>
    <xf numFmtId="0" fontId="9" fillId="0" borderId="1" xfId="0" applyFont="1" applyBorder="1" applyAlignment="1">
      <alignment vertical="center" wrapText="1"/>
    </xf>
    <xf numFmtId="166" fontId="9" fillId="7" borderId="1" xfId="0" applyNumberFormat="1" applyFont="1" applyFill="1" applyBorder="1" applyAlignment="1">
      <alignment vertical="center"/>
    </xf>
    <xf numFmtId="0" fontId="1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/>
    <xf numFmtId="0" fontId="7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1" fillId="0" borderId="1" xfId="1" applyNumberFormat="1" applyFont="1" applyBorder="1" applyAlignment="1" applyProtection="1">
      <alignment horizontal="center" vertical="center"/>
      <protection hidden="1"/>
    </xf>
    <xf numFmtId="4" fontId="9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166" fontId="4" fillId="4" borderId="1" xfId="0" applyNumberFormat="1" applyFont="1" applyFill="1" applyBorder="1" applyAlignment="1" applyProtection="1">
      <alignment vertical="center"/>
      <protection locked="0"/>
    </xf>
    <xf numFmtId="0" fontId="12" fillId="0" borderId="1" xfId="4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5" fontId="4" fillId="0" borderId="0" xfId="0" applyNumberFormat="1" applyFont="1" applyAlignment="1">
      <alignment vertical="center"/>
    </xf>
    <xf numFmtId="0" fontId="4" fillId="0" borderId="0" xfId="7" applyFont="1"/>
    <xf numFmtId="0" fontId="15" fillId="0" borderId="1" xfId="8" applyFont="1" applyBorder="1" applyAlignment="1">
      <alignment horizontal="center" vertical="center" wrapText="1"/>
    </xf>
    <xf numFmtId="0" fontId="17" fillId="0" borderId="1" xfId="7" applyFont="1" applyBorder="1" applyAlignment="1">
      <alignment horizontal="center" vertical="center"/>
    </xf>
    <xf numFmtId="0" fontId="18" fillId="4" borderId="1" xfId="4" applyFont="1" applyFill="1" applyBorder="1" applyAlignment="1">
      <alignment horizontal="center" vertical="center"/>
    </xf>
    <xf numFmtId="169" fontId="12" fillId="0" borderId="1" xfId="1" applyFont="1" applyBorder="1" applyAlignment="1">
      <alignment horizontal="center" vertical="center"/>
    </xf>
    <xf numFmtId="169" fontId="12" fillId="0" borderId="1" xfId="1" applyFont="1" applyBorder="1" applyAlignment="1">
      <alignment horizontal="left" vertical="center"/>
    </xf>
    <xf numFmtId="170" fontId="18" fillId="0" borderId="1" xfId="9" applyNumberFormat="1" applyFont="1" applyBorder="1" applyAlignment="1">
      <alignment horizontal="center" vertical="center"/>
    </xf>
    <xf numFmtId="0" fontId="4" fillId="0" borderId="1" xfId="7" applyFont="1" applyBorder="1"/>
    <xf numFmtId="0" fontId="2" fillId="8" borderId="1" xfId="8" applyFont="1" applyFill="1" applyBorder="1" applyAlignment="1">
      <alignment horizontal="left" vertical="center" wrapText="1"/>
    </xf>
    <xf numFmtId="1" fontId="2" fillId="8" borderId="1" xfId="8" applyNumberFormat="1" applyFont="1" applyFill="1" applyBorder="1" applyAlignment="1">
      <alignment horizontal="center" vertical="center"/>
    </xf>
    <xf numFmtId="169" fontId="2" fillId="8" borderId="1" xfId="10" applyFont="1" applyFill="1" applyBorder="1" applyAlignment="1">
      <alignment horizontal="center" vertical="center"/>
    </xf>
    <xf numFmtId="170" fontId="15" fillId="8" borderId="1" xfId="2" applyNumberFormat="1" applyFont="1" applyFill="1" applyBorder="1" applyAlignment="1">
      <alignment horizontal="center" vertical="center"/>
    </xf>
    <xf numFmtId="170" fontId="15" fillId="9" borderId="1" xfId="2" applyNumberFormat="1" applyFont="1" applyFill="1" applyBorder="1" applyAlignment="1">
      <alignment horizontal="center" vertical="center"/>
    </xf>
    <xf numFmtId="0" fontId="3" fillId="0" borderId="0" xfId="7" applyFont="1"/>
    <xf numFmtId="171" fontId="3" fillId="0" borderId="0" xfId="11" applyNumberFormat="1" applyFont="1"/>
    <xf numFmtId="0" fontId="17" fillId="0" borderId="1" xfId="7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left" vertical="center" wrapText="1"/>
    </xf>
    <xf numFmtId="0" fontId="18" fillId="0" borderId="1" xfId="4" applyFont="1" applyFill="1" applyBorder="1" applyAlignment="1">
      <alignment horizontal="center" vertical="center"/>
    </xf>
    <xf numFmtId="169" fontId="12" fillId="0" borderId="1" xfId="1" applyFont="1" applyFill="1" applyBorder="1" applyAlignment="1">
      <alignment horizontal="center" vertical="center"/>
    </xf>
    <xf numFmtId="169" fontId="12" fillId="0" borderId="1" xfId="1" applyFont="1" applyFill="1" applyBorder="1" applyAlignment="1">
      <alignment horizontal="left" vertical="center"/>
    </xf>
    <xf numFmtId="170" fontId="18" fillId="0" borderId="1" xfId="9" applyNumberFormat="1" applyFont="1" applyFill="1" applyBorder="1" applyAlignment="1">
      <alignment horizontal="center" vertical="center"/>
    </xf>
    <xf numFmtId="0" fontId="20" fillId="3" borderId="1" xfId="8" applyFont="1" applyFill="1" applyBorder="1" applyAlignment="1">
      <alignment horizontal="left" vertical="center" wrapText="1"/>
    </xf>
    <xf numFmtId="1" fontId="20" fillId="3" borderId="1" xfId="8" applyNumberFormat="1" applyFont="1" applyFill="1" applyBorder="1" applyAlignment="1">
      <alignment horizontal="center" vertical="center"/>
    </xf>
    <xf numFmtId="169" fontId="20" fillId="3" borderId="1" xfId="10" applyFont="1" applyFill="1" applyBorder="1" applyAlignment="1">
      <alignment horizontal="center" vertical="center"/>
    </xf>
    <xf numFmtId="170" fontId="21" fillId="3" borderId="1" xfId="2" applyNumberFormat="1" applyFont="1" applyFill="1" applyBorder="1" applyAlignment="1">
      <alignment horizontal="center" vertical="center"/>
    </xf>
    <xf numFmtId="169" fontId="3" fillId="0" borderId="0" xfId="7" applyNumberFormat="1" applyFont="1"/>
    <xf numFmtId="172" fontId="3" fillId="0" borderId="0" xfId="7" applyNumberFormat="1" applyFont="1"/>
    <xf numFmtId="173" fontId="3" fillId="0" borderId="0" xfId="11" applyNumberFormat="1" applyFont="1"/>
    <xf numFmtId="10" fontId="2" fillId="8" borderId="1" xfId="2" applyNumberFormat="1" applyFont="1" applyFill="1" applyBorder="1" applyAlignment="1">
      <alignment horizontal="right" vertical="center"/>
    </xf>
    <xf numFmtId="10" fontId="2" fillId="8" borderId="1" xfId="2" applyNumberFormat="1" applyFont="1" applyFill="1" applyBorder="1" applyAlignment="1">
      <alignment horizontal="center" vertical="center"/>
    </xf>
    <xf numFmtId="0" fontId="3" fillId="0" borderId="0" xfId="7" applyAlignment="1">
      <alignment vertical="center"/>
    </xf>
    <xf numFmtId="0" fontId="23" fillId="0" borderId="1" xfId="7" applyFont="1" applyBorder="1" applyAlignment="1">
      <alignment horizontal="left" vertical="center"/>
    </xf>
    <xf numFmtId="0" fontId="23" fillId="0" borderId="1" xfId="7" applyFont="1" applyBorder="1" applyAlignment="1">
      <alignment horizontal="center" vertical="center" wrapText="1"/>
    </xf>
    <xf numFmtId="0" fontId="23" fillId="0" borderId="1" xfId="7" applyFont="1" applyBorder="1" applyAlignment="1">
      <alignment horizontal="right" vertical="center"/>
    </xf>
    <xf numFmtId="172" fontId="23" fillId="0" borderId="1" xfId="7" applyNumberFormat="1" applyFont="1" applyBorder="1" applyAlignment="1">
      <alignment horizontal="right" vertical="center"/>
    </xf>
    <xf numFmtId="166" fontId="3" fillId="0" borderId="0" xfId="7" applyNumberFormat="1" applyAlignment="1">
      <alignment vertical="center"/>
    </xf>
    <xf numFmtId="0" fontId="23" fillId="0" borderId="1" xfId="7" applyFont="1" applyBorder="1" applyAlignment="1">
      <alignment horizontal="left" vertical="center" wrapText="1"/>
    </xf>
    <xf numFmtId="0" fontId="24" fillId="0" borderId="1" xfId="7" applyFont="1" applyBorder="1" applyAlignment="1">
      <alignment horizontal="left" vertical="center" wrapText="1"/>
    </xf>
    <xf numFmtId="9" fontId="24" fillId="0" borderId="1" xfId="6" applyFont="1" applyBorder="1" applyAlignment="1">
      <alignment horizontal="right" vertical="center"/>
    </xf>
    <xf numFmtId="0" fontId="3" fillId="0" borderId="1" xfId="7" applyBorder="1" applyAlignment="1">
      <alignment vertical="center"/>
    </xf>
    <xf numFmtId="0" fontId="3" fillId="0" borderId="1" xfId="7" applyFont="1" applyBorder="1" applyAlignment="1">
      <alignment vertical="center"/>
    </xf>
    <xf numFmtId="172" fontId="3" fillId="0" borderId="1" xfId="7" applyNumberFormat="1" applyBorder="1" applyAlignment="1">
      <alignment vertical="center"/>
    </xf>
    <xf numFmtId="172" fontId="25" fillId="10" borderId="1" xfId="7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43" fontId="3" fillId="0" borderId="0" xfId="13" applyFont="1"/>
    <xf numFmtId="43" fontId="3" fillId="0" borderId="0" xfId="7" applyNumberFormat="1" applyFont="1"/>
    <xf numFmtId="1" fontId="3" fillId="0" borderId="0" xfId="7" applyNumberFormat="1" applyFont="1"/>
    <xf numFmtId="0" fontId="5" fillId="3" borderId="1" xfId="0" applyFont="1" applyFill="1" applyBorder="1" applyAlignment="1">
      <alignment horizontal="center" vertical="center"/>
    </xf>
    <xf numFmtId="0" fontId="27" fillId="11" borderId="0" xfId="14" applyFont="1" applyFill="1" applyBorder="1" applyAlignment="1" applyProtection="1">
      <alignment vertical="center"/>
    </xf>
    <xf numFmtId="0" fontId="28" fillId="11" borderId="0" xfId="14" applyFont="1" applyFill="1" applyBorder="1" applyAlignment="1" applyProtection="1">
      <alignment vertical="center"/>
    </xf>
    <xf numFmtId="0" fontId="3" fillId="0" borderId="0" xfId="15" applyFont="1" applyBorder="1"/>
    <xf numFmtId="0" fontId="29" fillId="0" borderId="0" xfId="14" applyFont="1" applyBorder="1" applyAlignment="1" applyProtection="1">
      <alignment vertical="center" wrapText="1"/>
    </xf>
    <xf numFmtId="0" fontId="25" fillId="0" borderId="0" xfId="14" applyFont="1" applyBorder="1" applyAlignment="1" applyProtection="1">
      <alignment vertical="center" wrapText="1"/>
    </xf>
    <xf numFmtId="0" fontId="30" fillId="0" borderId="0" xfId="14" applyFont="1" applyBorder="1" applyAlignment="1" applyProtection="1">
      <alignment vertical="center"/>
    </xf>
    <xf numFmtId="0" fontId="30" fillId="0" borderId="0" xfId="14" applyFont="1" applyFill="1" applyBorder="1" applyAlignment="1" applyProtection="1">
      <alignment vertical="center"/>
    </xf>
    <xf numFmtId="3" fontId="31" fillId="0" borderId="0" xfId="14" applyNumberFormat="1" applyFont="1" applyFill="1" applyBorder="1" applyAlignment="1" applyProtection="1">
      <alignment horizontal="right" vertical="center"/>
    </xf>
    <xf numFmtId="0" fontId="3" fillId="0" borderId="0" xfId="14" applyFont="1" applyFill="1" applyBorder="1" applyAlignment="1" applyProtection="1">
      <alignment vertical="center"/>
    </xf>
    <xf numFmtId="0" fontId="30" fillId="12" borderId="13" xfId="15" applyFont="1" applyFill="1" applyBorder="1" applyAlignment="1">
      <alignment horizontal="left" vertical="center"/>
    </xf>
    <xf numFmtId="0" fontId="29" fillId="0" borderId="13" xfId="14" applyFont="1" applyBorder="1" applyAlignment="1" applyProtection="1">
      <alignment vertical="center"/>
    </xf>
    <xf numFmtId="3" fontId="3" fillId="0" borderId="0" xfId="15" applyNumberFormat="1" applyFont="1" applyBorder="1"/>
    <xf numFmtId="0" fontId="25" fillId="0" borderId="13" xfId="14" applyFont="1" applyBorder="1" applyAlignment="1" applyProtection="1">
      <alignment vertical="center"/>
    </xf>
    <xf numFmtId="0" fontId="25" fillId="0" borderId="0" xfId="14" applyFont="1" applyBorder="1" applyAlignment="1" applyProtection="1">
      <alignment vertical="center"/>
    </xf>
    <xf numFmtId="0" fontId="3" fillId="0" borderId="0" xfId="15" applyFont="1" applyFill="1" applyBorder="1" applyAlignment="1">
      <alignment horizontal="left" vertical="center"/>
    </xf>
    <xf numFmtId="0" fontId="3" fillId="13" borderId="15" xfId="14" applyFont="1" applyFill="1" applyBorder="1" applyAlignment="1" applyProtection="1">
      <alignment horizontal="center" vertical="center" wrapText="1"/>
    </xf>
    <xf numFmtId="0" fontId="4" fillId="13" borderId="15" xfId="14" applyFont="1" applyFill="1" applyBorder="1" applyAlignment="1" applyProtection="1">
      <alignment vertical="center"/>
    </xf>
    <xf numFmtId="0" fontId="32" fillId="0" borderId="0" xfId="15" applyFont="1" applyBorder="1"/>
    <xf numFmtId="0" fontId="3" fillId="13" borderId="0" xfId="14" applyFont="1" applyFill="1" applyBorder="1" applyAlignment="1" applyProtection="1">
      <alignment horizontal="center" vertical="center" wrapText="1"/>
    </xf>
    <xf numFmtId="0" fontId="33" fillId="13" borderId="0" xfId="14" applyFont="1" applyFill="1" applyBorder="1" applyAlignment="1" applyProtection="1">
      <alignment horizontal="center" vertical="center"/>
    </xf>
    <xf numFmtId="0" fontId="3" fillId="13" borderId="19" xfId="14" applyFont="1" applyFill="1" applyBorder="1" applyAlignment="1" applyProtection="1">
      <alignment horizontal="center" vertical="center" wrapText="1"/>
    </xf>
    <xf numFmtId="0" fontId="32" fillId="0" borderId="0" xfId="15" applyFont="1" applyBorder="1" applyAlignment="1">
      <alignment wrapText="1"/>
    </xf>
    <xf numFmtId="3" fontId="34" fillId="15" borderId="28" xfId="15" applyNumberFormat="1" applyFont="1" applyFill="1" applyBorder="1" applyAlignment="1">
      <alignment horizontal="center" vertical="top"/>
    </xf>
    <xf numFmtId="49" fontId="34" fillId="15" borderId="29" xfId="15" applyNumberFormat="1" applyFont="1" applyFill="1" applyBorder="1" applyAlignment="1">
      <alignment horizontal="justify" vertical="top" wrapText="1"/>
    </xf>
    <xf numFmtId="3" fontId="34" fillId="15" borderId="28" xfId="15" applyNumberFormat="1" applyFont="1" applyFill="1" applyBorder="1" applyAlignment="1">
      <alignment horizontal="right"/>
    </xf>
    <xf numFmtId="0" fontId="34" fillId="15" borderId="28" xfId="15" applyNumberFormat="1" applyFont="1" applyFill="1" applyBorder="1" applyAlignment="1">
      <alignment horizontal="center"/>
    </xf>
    <xf numFmtId="0" fontId="35" fillId="15" borderId="28" xfId="15" applyNumberFormat="1" applyFont="1" applyFill="1" applyBorder="1" applyAlignment="1">
      <alignment horizontal="center"/>
    </xf>
    <xf numFmtId="0" fontId="36" fillId="15" borderId="0" xfId="14" applyFont="1" applyFill="1" applyBorder="1" applyAlignment="1">
      <alignment vertical="center" wrapText="1"/>
      <protection locked="0"/>
    </xf>
    <xf numFmtId="4" fontId="34" fillId="15" borderId="28" xfId="16" applyNumberFormat="1" applyFont="1" applyFill="1" applyBorder="1" applyAlignment="1" applyProtection="1">
      <alignment horizontal="center" vertical="center"/>
    </xf>
    <xf numFmtId="0" fontId="37" fillId="15" borderId="0" xfId="15" applyFont="1" applyFill="1" applyBorder="1"/>
    <xf numFmtId="3" fontId="38" fillId="0" borderId="28" xfId="15" applyNumberFormat="1" applyFont="1" applyFill="1" applyBorder="1" applyAlignment="1">
      <alignment horizontal="center" vertical="top"/>
    </xf>
    <xf numFmtId="49" fontId="38" fillId="0" borderId="29" xfId="15" applyNumberFormat="1" applyFont="1" applyFill="1" applyBorder="1" applyAlignment="1">
      <alignment horizontal="justify" vertical="top" wrapText="1"/>
    </xf>
    <xf numFmtId="3" fontId="38" fillId="0" borderId="28" xfId="15" applyNumberFormat="1" applyFont="1" applyFill="1" applyBorder="1" applyAlignment="1">
      <alignment horizontal="right"/>
    </xf>
    <xf numFmtId="0" fontId="38" fillId="0" borderId="28" xfId="15" applyNumberFormat="1" applyFont="1" applyFill="1" applyBorder="1" applyAlignment="1">
      <alignment horizontal="center"/>
    </xf>
    <xf numFmtId="0" fontId="39" fillId="0" borderId="28" xfId="15" applyNumberFormat="1" applyFont="1" applyFill="1" applyBorder="1" applyAlignment="1">
      <alignment horizontal="center"/>
    </xf>
    <xf numFmtId="0" fontId="38" fillId="14" borderId="30" xfId="15" applyNumberFormat="1" applyFont="1" applyFill="1" applyBorder="1" applyAlignment="1">
      <alignment horizontal="center"/>
    </xf>
    <xf numFmtId="0" fontId="38" fillId="14" borderId="28" xfId="15" applyNumberFormat="1" applyFont="1" applyFill="1" applyBorder="1" applyAlignment="1">
      <alignment horizontal="center"/>
    </xf>
    <xf numFmtId="0" fontId="38" fillId="14" borderId="31" xfId="15" applyNumberFormat="1" applyFont="1" applyFill="1" applyBorder="1" applyAlignment="1">
      <alignment horizontal="center"/>
    </xf>
    <xf numFmtId="4" fontId="38" fillId="0" borderId="28" xfId="16" applyNumberFormat="1" applyFont="1" applyFill="1" applyBorder="1" applyAlignment="1" applyProtection="1">
      <alignment horizontal="right"/>
    </xf>
    <xf numFmtId="0" fontId="3" fillId="0" borderId="0" xfId="15" applyFont="1" applyFill="1" applyBorder="1"/>
    <xf numFmtId="0" fontId="40" fillId="15" borderId="32" xfId="14" applyFont="1" applyFill="1" applyBorder="1" applyAlignment="1">
      <alignment vertical="center"/>
      <protection locked="0"/>
    </xf>
    <xf numFmtId="0" fontId="36" fillId="15" borderId="0" xfId="14" applyFont="1" applyFill="1" applyBorder="1" applyAlignment="1">
      <alignment vertical="center"/>
      <protection locked="0"/>
    </xf>
    <xf numFmtId="0" fontId="36" fillId="15" borderId="17" xfId="14" applyFont="1" applyFill="1" applyBorder="1" applyAlignment="1">
      <alignment vertical="center" wrapText="1"/>
      <protection locked="0"/>
    </xf>
    <xf numFmtId="0" fontId="41" fillId="15" borderId="33" xfId="14" applyFont="1" applyFill="1" applyBorder="1" applyAlignment="1">
      <alignment horizontal="center" vertical="center" wrapText="1"/>
      <protection locked="0"/>
    </xf>
    <xf numFmtId="172" fontId="41" fillId="15" borderId="34" xfId="14" applyNumberFormat="1" applyFont="1" applyFill="1" applyBorder="1" applyAlignment="1">
      <alignment horizontal="center" vertical="center" wrapText="1"/>
      <protection locked="0"/>
    </xf>
    <xf numFmtId="0" fontId="12" fillId="15" borderId="0" xfId="15" applyFont="1" applyFill="1" applyBorder="1" applyAlignment="1">
      <alignment horizontal="left" vertical="center"/>
    </xf>
    <xf numFmtId="0" fontId="12" fillId="15" borderId="0" xfId="15" applyFont="1" applyFill="1" applyBorder="1" applyAlignment="1">
      <alignment vertical="center"/>
    </xf>
    <xf numFmtId="3" fontId="42" fillId="7" borderId="35" xfId="16" applyNumberFormat="1" applyFont="1" applyFill="1" applyBorder="1" applyAlignment="1" applyProtection="1">
      <alignment horizontal="center" vertical="center" wrapText="1"/>
    </xf>
    <xf numFmtId="4" fontId="42" fillId="7" borderId="35" xfId="16" applyNumberFormat="1" applyFont="1" applyFill="1" applyBorder="1" applyAlignment="1" applyProtection="1">
      <alignment horizontal="left" vertical="center" wrapText="1"/>
    </xf>
    <xf numFmtId="4" fontId="42" fillId="7" borderId="35" xfId="16" applyNumberFormat="1" applyFont="1" applyFill="1" applyBorder="1" applyAlignment="1" applyProtection="1">
      <alignment horizontal="center" vertical="center" wrapText="1"/>
    </xf>
    <xf numFmtId="4" fontId="42" fillId="7" borderId="36" xfId="16" applyNumberFormat="1" applyFont="1" applyFill="1" applyBorder="1" applyAlignment="1" applyProtection="1">
      <alignment horizontal="center" vertical="center" wrapText="1"/>
    </xf>
    <xf numFmtId="4" fontId="42" fillId="7" borderId="37" xfId="16" applyNumberFormat="1" applyFont="1" applyFill="1" applyBorder="1" applyAlignment="1" applyProtection="1">
      <alignment horizontal="center" vertical="center" wrapText="1"/>
    </xf>
    <xf numFmtId="172" fontId="3" fillId="0" borderId="0" xfId="15" applyNumberFormat="1" applyFont="1" applyFill="1" applyBorder="1" applyAlignment="1">
      <alignment horizontal="left" vertical="center"/>
    </xf>
    <xf numFmtId="0" fontId="3" fillId="0" borderId="0" xfId="15" applyFont="1" applyBorder="1" applyAlignment="1">
      <alignment vertical="center"/>
    </xf>
    <xf numFmtId="3" fontId="42" fillId="16" borderId="35" xfId="16" applyNumberFormat="1" applyFont="1" applyFill="1" applyBorder="1" applyAlignment="1" applyProtection="1">
      <alignment horizontal="center" vertical="center" wrapText="1"/>
    </xf>
    <xf numFmtId="4" fontId="42" fillId="16" borderId="35" xfId="16" applyNumberFormat="1" applyFont="1" applyFill="1" applyBorder="1" applyAlignment="1" applyProtection="1">
      <alignment horizontal="left" vertical="center" wrapText="1"/>
    </xf>
    <xf numFmtId="4" fontId="42" fillId="16" borderId="35" xfId="16" applyNumberFormat="1" applyFont="1" applyFill="1" applyBorder="1" applyAlignment="1" applyProtection="1">
      <alignment horizontal="center" vertical="center" wrapText="1"/>
    </xf>
    <xf numFmtId="3" fontId="43" fillId="16" borderId="38" xfId="16" applyNumberFormat="1" applyFont="1" applyFill="1" applyBorder="1" applyAlignment="1" applyProtection="1">
      <alignment horizontal="center" vertical="center" wrapText="1"/>
    </xf>
    <xf numFmtId="3" fontId="43" fillId="16" borderId="35" xfId="16" applyNumberFormat="1" applyFont="1" applyFill="1" applyBorder="1" applyAlignment="1" applyProtection="1">
      <alignment horizontal="center" vertical="center" wrapText="1"/>
    </xf>
    <xf numFmtId="172" fontId="42" fillId="14" borderId="36" xfId="17" applyFont="1" applyFill="1" applyBorder="1" applyAlignment="1" applyProtection="1">
      <alignment horizontal="center" vertical="center" wrapText="1"/>
    </xf>
    <xf numFmtId="172" fontId="42" fillId="14" borderId="35" xfId="17" applyFont="1" applyFill="1" applyBorder="1" applyAlignment="1" applyProtection="1">
      <alignment horizontal="center" vertical="center" wrapText="1"/>
    </xf>
    <xf numFmtId="10" fontId="42" fillId="14" borderId="37" xfId="2" applyNumberFormat="1" applyFont="1" applyFill="1" applyBorder="1" applyAlignment="1" applyProtection="1">
      <alignment horizontal="center" vertical="center" wrapText="1"/>
    </xf>
    <xf numFmtId="0" fontId="4" fillId="15" borderId="0" xfId="15" applyFont="1" applyFill="1" applyBorder="1"/>
    <xf numFmtId="3" fontId="4" fillId="15" borderId="0" xfId="15" applyNumberFormat="1" applyFont="1" applyFill="1" applyBorder="1"/>
    <xf numFmtId="0" fontId="3" fillId="15" borderId="0" xfId="15" applyFont="1" applyFill="1" applyBorder="1"/>
    <xf numFmtId="0" fontId="20" fillId="17" borderId="0" xfId="15" applyFont="1" applyFill="1" applyBorder="1" applyAlignment="1">
      <alignment horizontal="center"/>
    </xf>
    <xf numFmtId="3" fontId="20" fillId="17" borderId="0" xfId="15" applyNumberFormat="1" applyFont="1" applyFill="1" applyBorder="1" applyAlignment="1">
      <alignment horizontal="center"/>
    </xf>
    <xf numFmtId="0" fontId="20" fillId="18" borderId="0" xfId="15" applyFont="1" applyFill="1" applyBorder="1" applyAlignment="1">
      <alignment horizontal="center"/>
    </xf>
    <xf numFmtId="3" fontId="20" fillId="18" borderId="0" xfId="15" applyNumberFormat="1" applyFont="1" applyFill="1" applyBorder="1" applyAlignment="1">
      <alignment horizontal="center"/>
    </xf>
    <xf numFmtId="0" fontId="20" fillId="3" borderId="0" xfId="15" applyFont="1" applyFill="1" applyBorder="1" applyAlignment="1">
      <alignment horizontal="center"/>
    </xf>
    <xf numFmtId="3" fontId="20" fillId="3" borderId="0" xfId="15" applyNumberFormat="1" applyFont="1" applyFill="1" applyBorder="1" applyAlignment="1">
      <alignment horizontal="center"/>
    </xf>
    <xf numFmtId="0" fontId="20" fillId="19" borderId="0" xfId="15" applyFont="1" applyFill="1" applyBorder="1" applyAlignment="1">
      <alignment horizontal="center"/>
    </xf>
    <xf numFmtId="3" fontId="20" fillId="19" borderId="0" xfId="15" applyNumberFormat="1" applyFont="1" applyFill="1" applyBorder="1" applyAlignment="1">
      <alignment horizontal="center"/>
    </xf>
    <xf numFmtId="0" fontId="44" fillId="15" borderId="0" xfId="15" applyFont="1" applyFill="1" applyBorder="1" applyAlignment="1">
      <alignment horizontal="center"/>
    </xf>
    <xf numFmtId="3" fontId="44" fillId="15" borderId="0" xfId="15" applyNumberFormat="1" applyFont="1" applyFill="1" applyBorder="1" applyAlignment="1">
      <alignment horizontal="center"/>
    </xf>
    <xf numFmtId="10" fontId="44" fillId="15" borderId="0" xfId="2" applyNumberFormat="1" applyFont="1" applyFill="1" applyBorder="1" applyAlignment="1">
      <alignment horizontal="center"/>
    </xf>
    <xf numFmtId="10" fontId="2" fillId="2" borderId="0" xfId="2" applyNumberFormat="1" applyFont="1" applyFill="1" applyBorder="1" applyAlignment="1">
      <alignment horizontal="centerContinuous" vertical="center" wrapText="1"/>
    </xf>
    <xf numFmtId="0" fontId="4" fillId="3" borderId="1" xfId="0" applyFont="1" applyFill="1" applyBorder="1" applyAlignment="1">
      <alignment vertical="center"/>
    </xf>
    <xf numFmtId="10" fontId="4" fillId="3" borderId="1" xfId="2" applyNumberFormat="1" applyFont="1" applyFill="1" applyBorder="1" applyAlignment="1" applyProtection="1">
      <alignment vertical="center"/>
      <protection hidden="1"/>
    </xf>
    <xf numFmtId="166" fontId="4" fillId="3" borderId="1" xfId="0" applyNumberFormat="1" applyFont="1" applyFill="1" applyBorder="1" applyAlignment="1">
      <alignment vertical="center"/>
    </xf>
    <xf numFmtId="0" fontId="25" fillId="0" borderId="1" xfId="0" applyFont="1" applyBorder="1" applyAlignment="1">
      <alignment horizontal="centerContinuous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Continuous" vertical="center"/>
    </xf>
    <xf numFmtId="0" fontId="25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1" xfId="0" applyBorder="1"/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25" fillId="0" borderId="5" xfId="0" applyFont="1" applyBorder="1" applyAlignment="1">
      <alignment horizontal="centerContinuous"/>
    </xf>
    <xf numFmtId="0" fontId="25" fillId="0" borderId="6" xfId="0" applyFont="1" applyBorder="1" applyAlignment="1">
      <alignment horizontal="centerContinuous"/>
    </xf>
    <xf numFmtId="0" fontId="25" fillId="0" borderId="7" xfId="0" applyFont="1" applyBorder="1" applyAlignment="1">
      <alignment horizontal="centerContinuous"/>
    </xf>
    <xf numFmtId="43" fontId="25" fillId="0" borderId="1" xfId="13" applyNumberFormat="1" applyFont="1" applyBorder="1"/>
    <xf numFmtId="43" fontId="25" fillId="0" borderId="7" xfId="13" applyFont="1" applyBorder="1"/>
    <xf numFmtId="43" fontId="25" fillId="0" borderId="1" xfId="0" applyNumberFormat="1" applyFont="1" applyBorder="1"/>
    <xf numFmtId="43" fontId="25" fillId="0" borderId="7" xfId="0" applyNumberFormat="1" applyFont="1" applyBorder="1"/>
    <xf numFmtId="43" fontId="25" fillId="0" borderId="1" xfId="13" applyFont="1" applyBorder="1"/>
    <xf numFmtId="43" fontId="4" fillId="0" borderId="0" xfId="13" applyFont="1"/>
    <xf numFmtId="43" fontId="4" fillId="0" borderId="0" xfId="7" applyNumberFormat="1" applyFont="1"/>
    <xf numFmtId="0" fontId="25" fillId="0" borderId="0" xfId="0" applyFont="1" applyBorder="1" applyAlignment="1">
      <alignment horizontal="centerContinuous"/>
    </xf>
    <xf numFmtId="43" fontId="25" fillId="0" borderId="0" xfId="0" applyNumberFormat="1" applyFont="1" applyBorder="1"/>
    <xf numFmtId="0" fontId="0" fillId="3" borderId="1" xfId="0" applyFill="1" applyBorder="1"/>
    <xf numFmtId="0" fontId="3" fillId="3" borderId="5" xfId="0" applyFont="1" applyFill="1" applyBorder="1"/>
    <xf numFmtId="0" fontId="0" fillId="3" borderId="6" xfId="0" applyFill="1" applyBorder="1"/>
    <xf numFmtId="0" fontId="0" fillId="3" borderId="7" xfId="0" applyFill="1" applyBorder="1"/>
    <xf numFmtId="43" fontId="25" fillId="3" borderId="1" xfId="13" applyNumberFormat="1" applyFont="1" applyFill="1" applyBorder="1"/>
    <xf numFmtId="43" fontId="25" fillId="3" borderId="7" xfId="13" applyFont="1" applyFill="1" applyBorder="1"/>
    <xf numFmtId="43" fontId="25" fillId="0" borderId="0" xfId="13" applyFont="1"/>
    <xf numFmtId="43" fontId="0" fillId="0" borderId="0" xfId="0" applyNumberFormat="1"/>
    <xf numFmtId="0" fontId="22" fillId="0" borderId="8" xfId="7" applyFont="1" applyBorder="1" applyAlignment="1">
      <alignment horizontal="center" vertical="center"/>
    </xf>
    <xf numFmtId="0" fontId="22" fillId="0" borderId="9" xfId="7" applyFont="1" applyBorder="1" applyAlignment="1">
      <alignment horizontal="center" vertical="center"/>
    </xf>
    <xf numFmtId="0" fontId="22" fillId="0" borderId="10" xfId="7" applyFont="1" applyBorder="1" applyAlignment="1">
      <alignment horizontal="center" vertical="center"/>
    </xf>
    <xf numFmtId="0" fontId="12" fillId="8" borderId="11" xfId="7" applyFont="1" applyFill="1" applyBorder="1" applyAlignment="1">
      <alignment horizontal="center" vertical="center"/>
    </xf>
    <xf numFmtId="0" fontId="12" fillId="8" borderId="12" xfId="7" applyFont="1" applyFill="1" applyBorder="1" applyAlignment="1">
      <alignment horizontal="center" vertical="center"/>
    </xf>
    <xf numFmtId="0" fontId="12" fillId="8" borderId="5" xfId="7" applyFont="1" applyFill="1" applyBorder="1" applyAlignment="1">
      <alignment horizontal="center" vertical="center"/>
    </xf>
    <xf numFmtId="0" fontId="12" fillId="8" borderId="7" xfId="7" applyFont="1" applyFill="1" applyBorder="1" applyAlignment="1">
      <alignment horizontal="center" vertical="center"/>
    </xf>
    <xf numFmtId="0" fontId="33" fillId="13" borderId="23" xfId="14" applyFont="1" applyFill="1" applyBorder="1" applyAlignment="1" applyProtection="1">
      <alignment horizontal="center" vertical="center" wrapText="1"/>
    </xf>
    <xf numFmtId="0" fontId="33" fillId="13" borderId="19" xfId="14" applyFont="1" applyFill="1" applyBorder="1" applyAlignment="1" applyProtection="1">
      <alignment horizontal="center" vertical="center" wrapText="1"/>
    </xf>
    <xf numFmtId="0" fontId="29" fillId="0" borderId="0" xfId="14" applyFont="1" applyBorder="1" applyAlignment="1" applyProtection="1">
      <alignment horizontal="left" vertical="center" wrapText="1"/>
    </xf>
    <xf numFmtId="0" fontId="4" fillId="13" borderId="14" xfId="15" applyFont="1" applyFill="1" applyBorder="1" applyAlignment="1">
      <alignment horizontal="center" vertical="center" wrapText="1" shrinkToFit="1"/>
    </xf>
    <xf numFmtId="0" fontId="4" fillId="13" borderId="0" xfId="15" applyFont="1" applyFill="1" applyBorder="1" applyAlignment="1">
      <alignment horizontal="center" vertical="center" wrapText="1" shrinkToFit="1"/>
    </xf>
    <xf numFmtId="0" fontId="4" fillId="13" borderId="19" xfId="15" applyFont="1" applyFill="1" applyBorder="1" applyAlignment="1">
      <alignment horizontal="center" vertical="center" wrapText="1" shrinkToFit="1"/>
    </xf>
    <xf numFmtId="0" fontId="4" fillId="13" borderId="15" xfId="14" applyFont="1" applyFill="1" applyBorder="1" applyAlignment="1" applyProtection="1">
      <alignment horizontal="center" vertical="center"/>
    </xf>
    <xf numFmtId="0" fontId="4" fillId="13" borderId="19" xfId="14" applyFont="1" applyFill="1" applyBorder="1" applyAlignment="1" applyProtection="1">
      <alignment horizontal="center" vertical="center"/>
    </xf>
    <xf numFmtId="0" fontId="4" fillId="13" borderId="24" xfId="14" applyFont="1" applyFill="1" applyBorder="1" applyAlignment="1" applyProtection="1">
      <alignment horizontal="center" vertical="center"/>
    </xf>
    <xf numFmtId="0" fontId="4" fillId="13" borderId="15" xfId="14" applyFont="1" applyFill="1" applyBorder="1" applyAlignment="1" applyProtection="1">
      <alignment horizontal="center" vertical="center" wrapText="1"/>
    </xf>
    <xf numFmtId="0" fontId="4" fillId="13" borderId="19" xfId="14" applyFont="1" applyFill="1" applyBorder="1" applyAlignment="1" applyProtection="1">
      <alignment horizontal="center" vertical="center" wrapText="1"/>
    </xf>
    <xf numFmtId="0" fontId="4" fillId="13" borderId="24" xfId="14" applyFont="1" applyFill="1" applyBorder="1" applyAlignment="1" applyProtection="1">
      <alignment horizontal="center" vertical="center" wrapText="1"/>
    </xf>
    <xf numFmtId="0" fontId="3" fillId="13" borderId="15" xfId="14" applyFont="1" applyFill="1" applyBorder="1" applyAlignment="1" applyProtection="1">
      <alignment horizontal="center" vertical="center" wrapText="1"/>
    </xf>
    <xf numFmtId="0" fontId="3" fillId="13" borderId="19" xfId="14" applyFont="1" applyFill="1" applyBorder="1" applyAlignment="1" applyProtection="1">
      <alignment horizontal="center" vertical="center" wrapText="1"/>
    </xf>
    <xf numFmtId="0" fontId="3" fillId="13" borderId="24" xfId="14" applyFont="1" applyFill="1" applyBorder="1" applyAlignment="1" applyProtection="1">
      <alignment horizontal="center" vertical="center" wrapText="1"/>
    </xf>
    <xf numFmtId="0" fontId="4" fillId="14" borderId="16" xfId="14" applyFont="1" applyFill="1" applyBorder="1" applyAlignment="1" applyProtection="1">
      <alignment horizontal="center" vertical="center" wrapText="1"/>
    </xf>
    <xf numFmtId="0" fontId="4" fillId="14" borderId="20" xfId="14" applyFont="1" applyFill="1" applyBorder="1" applyAlignment="1" applyProtection="1">
      <alignment horizontal="center" vertical="center" wrapText="1"/>
    </xf>
    <xf numFmtId="0" fontId="4" fillId="14" borderId="25" xfId="14" applyFont="1" applyFill="1" applyBorder="1" applyAlignment="1" applyProtection="1">
      <alignment horizontal="center" vertical="center" wrapText="1"/>
    </xf>
    <xf numFmtId="0" fontId="4" fillId="14" borderId="17" xfId="14" applyFont="1" applyFill="1" applyBorder="1" applyAlignment="1" applyProtection="1">
      <alignment horizontal="center" vertical="center" wrapText="1"/>
    </xf>
    <xf numFmtId="0" fontId="4" fillId="14" borderId="0" xfId="14" applyFont="1" applyFill="1" applyBorder="1" applyAlignment="1" applyProtection="1">
      <alignment horizontal="center" vertical="center" wrapText="1"/>
    </xf>
    <xf numFmtId="0" fontId="4" fillId="14" borderId="26" xfId="14" applyFont="1" applyFill="1" applyBorder="1" applyAlignment="1" applyProtection="1">
      <alignment horizontal="center" vertical="center" wrapText="1"/>
    </xf>
    <xf numFmtId="0" fontId="4" fillId="14" borderId="18" xfId="14" applyFont="1" applyFill="1" applyBorder="1" applyAlignment="1" applyProtection="1">
      <alignment horizontal="center" vertical="center" wrapText="1"/>
    </xf>
    <xf numFmtId="0" fontId="4" fillId="14" borderId="21" xfId="14" applyFont="1" applyFill="1" applyBorder="1" applyAlignment="1" applyProtection="1">
      <alignment horizontal="center" vertical="center" wrapText="1"/>
    </xf>
    <xf numFmtId="0" fontId="4" fillId="14" borderId="27" xfId="14" applyFont="1" applyFill="1" applyBorder="1" applyAlignment="1" applyProtection="1">
      <alignment horizontal="center" vertical="center" wrapText="1"/>
    </xf>
    <xf numFmtId="0" fontId="3" fillId="13" borderId="22" xfId="14" applyFont="1" applyFill="1" applyBorder="1" applyAlignment="1" applyProtection="1">
      <alignment horizontal="center" vertical="center" wrapText="1"/>
    </xf>
    <xf numFmtId="0" fontId="3" fillId="13" borderId="0" xfId="14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0" fontId="2" fillId="0" borderId="4" xfId="2" applyNumberFormat="1" applyFont="1" applyFill="1" applyBorder="1" applyAlignment="1">
      <alignment horizontal="center" vertical="center" wrapText="1"/>
    </xf>
    <xf numFmtId="0" fontId="4" fillId="0" borderId="4" xfId="7" applyFont="1" applyBorder="1" applyAlignment="1">
      <alignment horizontal="center"/>
    </xf>
    <xf numFmtId="10" fontId="2" fillId="2" borderId="0" xfId="2" applyNumberFormat="1" applyFont="1" applyFill="1" applyBorder="1" applyAlignment="1">
      <alignment horizontal="center" vertical="center" wrapText="1"/>
    </xf>
    <xf numFmtId="10" fontId="2" fillId="2" borderId="5" xfId="2" applyNumberFormat="1" applyFont="1" applyFill="1" applyBorder="1" applyAlignment="1">
      <alignment horizontal="center" vertical="center" wrapText="1"/>
    </xf>
    <xf numFmtId="10" fontId="2" fillId="2" borderId="6" xfId="2" applyNumberFormat="1" applyFont="1" applyFill="1" applyBorder="1" applyAlignment="1">
      <alignment horizontal="center" vertical="center" wrapText="1"/>
    </xf>
    <xf numFmtId="10" fontId="2" fillId="2" borderId="7" xfId="2" applyNumberFormat="1" applyFont="1" applyFill="1" applyBorder="1" applyAlignment="1">
      <alignment horizontal="center" vertical="center" wrapText="1"/>
    </xf>
  </cellXfs>
  <cellStyles count="19">
    <cellStyle name="BORDAS" xfId="4"/>
    <cellStyle name="BORDAS_4 TA (2reajuste)" xfId="8"/>
    <cellStyle name="Moeda" xfId="1" builtinId="4"/>
    <cellStyle name="Moeda 2" xfId="5"/>
    <cellStyle name="Moeda 3" xfId="10"/>
    <cellStyle name="Moeda 4" xfId="17"/>
    <cellStyle name="Moeda 5" xfId="12"/>
    <cellStyle name="Normal" xfId="0" builtinId="0"/>
    <cellStyle name="Normal 2" xfId="3"/>
    <cellStyle name="Normal 2 2" xfId="7"/>
    <cellStyle name="Normal 3" xfId="14"/>
    <cellStyle name="Normal 4" xfId="18"/>
    <cellStyle name="Normal_Composições" xfId="15"/>
    <cellStyle name="Porcentagem" xfId="2" builtinId="5"/>
    <cellStyle name="Porcentagem 2" xfId="6"/>
    <cellStyle name="Separador de milhares 2" xfId="9"/>
    <cellStyle name="Separador de milhares_MODELO CÂMARA" xfId="16"/>
    <cellStyle name="Vírgula" xfId="13" builtinId="3"/>
    <cellStyle name="Vírgula 2" xfId="11"/>
  </cellStyles>
  <dxfs count="30"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pa%20-%20Manut%20Ar-Condicionado%20-%20Com%20Desconto%20MPF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PLAC/SIRC/PRODU&#199;&#195;O/PLANILHAS%20(MAO%20de%20OBRAS)/1%20-%20SENADO/ENTHERM%20Engenharia/CT%202014%200042%20PD/6&#186;%20TA%20-%203&#170;%20Repac%20+%203&#186;%20Reaj/6&#170;%20TA%20(3&#170;%20Repac%20+%203&#186;%20Reaj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ntes"/>
      <sheetName val="Equipe"/>
      <sheetName val="Serviços Cont."/>
      <sheetName val="Serviços Dem."/>
      <sheetName val="ABC-Serviços Dem."/>
      <sheetName val="Ponto"/>
      <sheetName val="Materiais"/>
      <sheetName val="ABC-Materiais"/>
      <sheetName val="Ferramental"/>
      <sheetName val="ABC-Ferramental"/>
      <sheetName val="Uniformes-EPIs"/>
      <sheetName val="Orçamentária"/>
      <sheetName val="BDI"/>
    </sheetNames>
    <sheetDataSet>
      <sheetData sheetId="0">
        <row r="2">
          <cell r="A2" t="str">
            <v>Objeto: Manutenção Ar-Condicionado</v>
          </cell>
        </row>
        <row r="3">
          <cell r="A3" t="str">
            <v>Data: Março de 2018</v>
          </cell>
          <cell r="F3" t="str">
            <v>Processo: 00200.006886/2017-03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1">
          <cell r="Q21">
            <v>315718.06</v>
          </cell>
        </row>
        <row r="604">
          <cell r="Q604">
            <v>179129.28</v>
          </cell>
        </row>
      </sheetData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."/>
      <sheetName val="Resumo Geral"/>
      <sheetName val="Resumo Geral 6ºTA"/>
      <sheetName val="3º Reaj. Deprec. INPC"/>
      <sheetName val="PLANI II"/>
      <sheetName val="PLAN III, IV e V"/>
      <sheetName val="PLAN VI"/>
      <sheetName val="Sup Tec Ar Cond"/>
      <sheetName val="Sup Tec Autom"/>
      <sheetName val="Encarreg"/>
      <sheetName val="Tec Eletmec"/>
      <sheetName val="Tec Com Elet"/>
      <sheetName val="Tec Ar Cond"/>
      <sheetName val="Tec Autom"/>
      <sheetName val="Eletmec Ar Cond Diu"/>
      <sheetName val="Eletmec Ar Cond Not"/>
      <sheetName val="Aux Manut Diu"/>
      <sheetName val="Aux Manut Not"/>
      <sheetName val="Op Manut Diu"/>
      <sheetName val="Op Manut Not"/>
      <sheetName val="EQUIPAMENTOS"/>
      <sheetName val="MATERIAS"/>
      <sheetName val="FERRAMENTAS"/>
      <sheetName val="Análises"/>
      <sheetName val="Fator K"/>
      <sheetName val="PE"/>
      <sheetName val="Plan1"/>
    </sheetNames>
    <sheetDataSet>
      <sheetData sheetId="0" refreshError="1"/>
      <sheetData sheetId="1" refreshError="1"/>
      <sheetData sheetId="2">
        <row r="8">
          <cell r="B8" t="str">
            <v>SUPERVISOR TÉCNICO DE AR-CONDICIONADO</v>
          </cell>
          <cell r="C8">
            <v>1</v>
          </cell>
        </row>
        <row r="9">
          <cell r="B9" t="str">
            <v>SUPERVISOR TÉCNICO DE AUTOMAÇÃO</v>
          </cell>
          <cell r="C9">
            <v>1</v>
          </cell>
        </row>
        <row r="10">
          <cell r="B10" t="str">
            <v>ENCARREGADO</v>
          </cell>
          <cell r="C10">
            <v>4</v>
          </cell>
        </row>
        <row r="11">
          <cell r="B11" t="str">
            <v>TÉCNICO ELETROMECÂNICO</v>
          </cell>
          <cell r="C11">
            <v>3</v>
          </cell>
        </row>
        <row r="12">
          <cell r="B12" t="str">
            <v>TÉCNICO EM COMANDO ELÉTRICO</v>
          </cell>
          <cell r="C12">
            <v>3</v>
          </cell>
        </row>
        <row r="13">
          <cell r="B13" t="str">
            <v>TÉCNICO EM AR-CONDICIONADO</v>
          </cell>
          <cell r="C13">
            <v>3</v>
          </cell>
        </row>
        <row r="14">
          <cell r="B14" t="str">
            <v>TÉCNICO EM AUTOMAÇÃO</v>
          </cell>
          <cell r="C14">
            <v>3</v>
          </cell>
        </row>
        <row r="15">
          <cell r="B15" t="str">
            <v>ELETROMECÂNICO EM AR-CONDICIONADO DIURNO</v>
          </cell>
          <cell r="C15">
            <v>8</v>
          </cell>
        </row>
        <row r="16">
          <cell r="B16" t="str">
            <v>ELETROMECÂNICO EM AR-CONDICIONADO NOTURNO</v>
          </cell>
          <cell r="C16">
            <v>8</v>
          </cell>
        </row>
        <row r="17">
          <cell r="B17" t="str">
            <v>AUXILIAR DE MANUTENÇÃO DIURNO</v>
          </cell>
          <cell r="C17">
            <v>2</v>
          </cell>
        </row>
        <row r="18">
          <cell r="B18" t="str">
            <v>AUXILIAR DE MANUTENÇÃO NOTURNO</v>
          </cell>
          <cell r="C18">
            <v>2</v>
          </cell>
        </row>
        <row r="19">
          <cell r="B19" t="str">
            <v>OPERADOR DE AUTOMAÇÃO DIURNO</v>
          </cell>
          <cell r="C19">
            <v>6</v>
          </cell>
        </row>
        <row r="20">
          <cell r="B20" t="str">
            <v>OPERADOR DE AUTOMAÇÃO NOTURNO</v>
          </cell>
          <cell r="C20">
            <v>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6"/>
  <sheetViews>
    <sheetView tabSelected="1" showWhiteSpace="0" zoomScaleNormal="100" workbookViewId="0"/>
  </sheetViews>
  <sheetFormatPr defaultRowHeight="12.75" x14ac:dyDescent="0.2"/>
  <cols>
    <col min="1" max="1" width="9.28515625" style="130" bestFit="1" customWidth="1"/>
    <col min="2" max="2" width="22.7109375" style="130" bestFit="1" customWidth="1"/>
    <col min="3" max="3" width="39.5703125" style="130" customWidth="1"/>
    <col min="4" max="4" width="14.5703125" style="130" customWidth="1"/>
    <col min="5" max="5" width="21.7109375" style="130" customWidth="1"/>
    <col min="6" max="6" width="28.85546875" style="130" customWidth="1"/>
    <col min="7" max="7" width="9.140625" style="130"/>
    <col min="8" max="8" width="23" style="130" bestFit="1" customWidth="1"/>
    <col min="9" max="9" width="14.7109375" style="130" customWidth="1"/>
    <col min="10" max="16384" width="9.140625" style="130"/>
  </cols>
  <sheetData>
    <row r="1" spans="2:6" ht="13.5" thickBot="1" x14ac:dyDescent="0.25"/>
    <row r="2" spans="2:6" ht="20.25" thickTop="1" thickBot="1" x14ac:dyDescent="0.25">
      <c r="B2" s="262" t="s">
        <v>109</v>
      </c>
      <c r="C2" s="263"/>
      <c r="D2" s="263"/>
      <c r="E2" s="263"/>
      <c r="F2" s="264"/>
    </row>
    <row r="3" spans="2:6" ht="15.75" thickTop="1" x14ac:dyDescent="0.2">
      <c r="B3" s="265" t="s">
        <v>110</v>
      </c>
      <c r="C3" s="266"/>
      <c r="E3" s="265" t="s">
        <v>110</v>
      </c>
      <c r="F3" s="266"/>
    </row>
    <row r="4" spans="2:6" ht="38.25" x14ac:dyDescent="0.2">
      <c r="B4" s="131" t="s">
        <v>111</v>
      </c>
      <c r="C4" s="132" t="str">
        <f>+Resumo!B16</f>
        <v>ELETROMECÂNICO DE AR-CONDICIONADO PLANTONISTA - 12x36hrs - NOTURNO</v>
      </c>
      <c r="E4" s="131" t="s">
        <v>111</v>
      </c>
      <c r="F4" s="132" t="str">
        <f>+Resumo!B18</f>
        <v>AUXILIAR DE MANUTENÇÃO PLANTONISTA - 12x36hrs - NOTURNO</v>
      </c>
    </row>
    <row r="5" spans="2:6" ht="24.95" customHeight="1" x14ac:dyDescent="0.2">
      <c r="B5" s="131" t="s">
        <v>112</v>
      </c>
      <c r="C5" s="133" t="s">
        <v>124</v>
      </c>
      <c r="E5" s="131" t="s">
        <v>113</v>
      </c>
      <c r="F5" s="133" t="s">
        <v>124</v>
      </c>
    </row>
    <row r="6" spans="2:6" ht="24.95" customHeight="1" x14ac:dyDescent="0.2">
      <c r="B6" s="131" t="s">
        <v>114</v>
      </c>
      <c r="C6" s="134">
        <f>+'Item 12'!D6</f>
        <v>2342.15</v>
      </c>
      <c r="D6" s="135"/>
      <c r="E6" s="131" t="s">
        <v>114</v>
      </c>
      <c r="F6" s="134">
        <f>+'Item 14'!D6</f>
        <v>1156.0899999999999</v>
      </c>
    </row>
    <row r="7" spans="2:6" ht="24.95" customHeight="1" x14ac:dyDescent="0.2">
      <c r="B7" s="131" t="s">
        <v>115</v>
      </c>
      <c r="C7" s="133">
        <f>12*15</f>
        <v>180</v>
      </c>
      <c r="D7" s="135"/>
      <c r="E7" s="131" t="s">
        <v>115</v>
      </c>
      <c r="F7" s="133">
        <f>12*15</f>
        <v>180</v>
      </c>
    </row>
    <row r="8" spans="2:6" ht="24.95" customHeight="1" x14ac:dyDescent="0.2">
      <c r="B8" s="136" t="s">
        <v>116</v>
      </c>
      <c r="C8" s="133">
        <v>15</v>
      </c>
      <c r="D8" s="135"/>
      <c r="E8" s="136" t="s">
        <v>116</v>
      </c>
      <c r="F8" s="133">
        <v>15</v>
      </c>
    </row>
    <row r="9" spans="2:6" ht="24.95" customHeight="1" x14ac:dyDescent="0.2">
      <c r="B9" s="131" t="s">
        <v>117</v>
      </c>
      <c r="C9" s="133">
        <v>7</v>
      </c>
      <c r="E9" s="131" t="s">
        <v>117</v>
      </c>
      <c r="F9" s="133">
        <v>7</v>
      </c>
    </row>
    <row r="10" spans="2:6" ht="24.95" customHeight="1" x14ac:dyDescent="0.2">
      <c r="B10" s="131" t="s">
        <v>118</v>
      </c>
      <c r="C10" s="133">
        <v>5</v>
      </c>
      <c r="E10" s="131" t="s">
        <v>118</v>
      </c>
      <c r="F10" s="133">
        <v>5</v>
      </c>
    </row>
    <row r="11" spans="2:6" ht="38.25" x14ac:dyDescent="0.2">
      <c r="B11" s="137" t="s">
        <v>119</v>
      </c>
      <c r="C11" s="138">
        <v>0.2</v>
      </c>
      <c r="E11" s="137" t="s">
        <v>119</v>
      </c>
      <c r="F11" s="138">
        <v>0.2</v>
      </c>
    </row>
    <row r="12" spans="2:6" ht="15" x14ac:dyDescent="0.2">
      <c r="B12" s="267" t="s">
        <v>120</v>
      </c>
      <c r="C12" s="268"/>
      <c r="E12" s="267" t="s">
        <v>120</v>
      </c>
      <c r="F12" s="268"/>
    </row>
    <row r="13" spans="2:6" ht="24.95" customHeight="1" x14ac:dyDescent="0.2">
      <c r="B13" s="139" t="s">
        <v>121</v>
      </c>
      <c r="C13" s="139">
        <f>C8*C10</f>
        <v>75</v>
      </c>
      <c r="E13" s="139" t="s">
        <v>121</v>
      </c>
      <c r="F13" s="139">
        <f>F8*F10</f>
        <v>75</v>
      </c>
    </row>
    <row r="14" spans="2:6" ht="24.95" customHeight="1" x14ac:dyDescent="0.2">
      <c r="B14" s="140" t="s">
        <v>122</v>
      </c>
      <c r="C14" s="141">
        <f>C6/C7</f>
        <v>13.011944444444445</v>
      </c>
      <c r="D14" s="135"/>
      <c r="E14" s="140" t="s">
        <v>122</v>
      </c>
      <c r="F14" s="141">
        <f>F6/F7</f>
        <v>6.4227222222222213</v>
      </c>
    </row>
    <row r="15" spans="2:6" ht="24.95" customHeight="1" x14ac:dyDescent="0.2">
      <c r="B15" s="139" t="s">
        <v>123</v>
      </c>
      <c r="C15" s="141">
        <f>C14*C11*1.1428571</f>
        <v>2.974158618627778</v>
      </c>
      <c r="D15" s="135"/>
      <c r="E15" s="139" t="s">
        <v>123</v>
      </c>
      <c r="F15" s="141">
        <f>F14*F11*1.1428571</f>
        <v>1.4680507385988888</v>
      </c>
    </row>
    <row r="16" spans="2:6" ht="24.95" customHeight="1" x14ac:dyDescent="0.2">
      <c r="B16" s="139"/>
      <c r="C16" s="142">
        <f>ROUND(C15*C13,2)</f>
        <v>223.06</v>
      </c>
      <c r="D16" s="135"/>
      <c r="E16" s="139"/>
      <c r="F16" s="142">
        <f>ROUND(F15*F13,2)</f>
        <v>110.1</v>
      </c>
    </row>
  </sheetData>
  <mergeCells count="5">
    <mergeCell ref="B2:F2"/>
    <mergeCell ref="B3:C3"/>
    <mergeCell ref="E3:F3"/>
    <mergeCell ref="B12:C12"/>
    <mergeCell ref="E12:F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fitToHeight="0" orientation="landscape" horizontalDpi="1200" verticalDpi="1200" r:id="rId1"/>
  <rowBreaks count="1" manualBreakCount="1">
    <brk id="16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/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135</v>
      </c>
      <c r="C2" s="300"/>
      <c r="D2" s="300"/>
    </row>
    <row r="3" spans="1:4" ht="21" customHeight="1" x14ac:dyDescent="0.2">
      <c r="A3" s="5" t="s">
        <v>2</v>
      </c>
      <c r="B3" s="145" t="s">
        <v>127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1194.8499999999999</v>
      </c>
    </row>
    <row r="7" spans="1:4" s="13" customFormat="1" x14ac:dyDescent="0.2">
      <c r="A7" s="299"/>
      <c r="B7" s="16" t="s">
        <v>9</v>
      </c>
      <c r="C7" s="15"/>
      <c r="D7" s="94"/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1194.8499999999999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IF(22*2*7.5-6%*D6&lt;0,0,22*2*7.5-6%*D6)</f>
        <v>258.30900000000003</v>
      </c>
    </row>
    <row r="17" spans="1:8" ht="13.5" customHeight="1" x14ac:dyDescent="0.2">
      <c r="A17" s="301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769.63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17.920000000000002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11.95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2.39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29.87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95.59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35.85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7.17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200.74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99.53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99.53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16.72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116.25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0.24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0.04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0.28000000000000003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9.9600000000000009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0.8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4.78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18.59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3.12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38.24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75.489999999999995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153</v>
      </c>
      <c r="C60" s="231">
        <v>8.3333000000000004E-2</v>
      </c>
      <c r="D60" s="232">
        <f t="shared" ref="D60:D67" si="2">ROUND(C60*D$14,2)</f>
        <v>99.57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33.18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0.33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0.13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0.33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0.25</v>
      </c>
    </row>
    <row r="66" spans="1:4" ht="11.45" customHeight="1" x14ac:dyDescent="0.2">
      <c r="A66" s="299"/>
      <c r="B66" s="18" t="s">
        <v>37</v>
      </c>
      <c r="C66" s="55">
        <f>SUM(C60:C65)</f>
        <v>0.11198240000000001</v>
      </c>
      <c r="D66" s="30">
        <f t="shared" si="2"/>
        <v>133.80000000000001</v>
      </c>
    </row>
    <row r="67" spans="1:4" ht="11.45" customHeight="1" x14ac:dyDescent="0.2">
      <c r="A67" s="299"/>
      <c r="B67" s="47" t="s">
        <v>55</v>
      </c>
      <c r="C67" s="55">
        <f>C66*C40</f>
        <v>1.8813043200000004E-2</v>
      </c>
      <c r="D67" s="54">
        <f t="shared" si="2"/>
        <v>22.48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0.13079544320000003</v>
      </c>
      <c r="D68" s="40">
        <f>IF($D$14="","ARRED(SOMA(D71:D72);2)",ROUND(SUM(D66:D67),2))</f>
        <v>156.28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200.74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116.25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0.28000000000000003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75.489999999999995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0.13079544320000003</v>
      </c>
      <c r="D75" s="62">
        <f>D68</f>
        <v>156.28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0.45948994320000008</v>
      </c>
      <c r="D76" s="64">
        <f>IF($D$14="","SOMA(D76:D80)",SUM(D71:D75))</f>
        <v>549.04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2581.7199999999998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116.18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121.41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57.25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263.70999999999998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173.5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156.15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888.2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3469.92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/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136</v>
      </c>
      <c r="C2" s="300"/>
      <c r="D2" s="300"/>
    </row>
    <row r="3" spans="1:4" ht="21" customHeight="1" x14ac:dyDescent="0.2">
      <c r="A3" s="5" t="s">
        <v>2</v>
      </c>
      <c r="B3" s="145" t="s">
        <v>127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1194.8499999999999</v>
      </c>
    </row>
    <row r="7" spans="1:4" s="13" customFormat="1" x14ac:dyDescent="0.2">
      <c r="A7" s="299"/>
      <c r="B7" s="16" t="s">
        <v>9</v>
      </c>
      <c r="C7" s="15"/>
      <c r="D7" s="94"/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1194.8499999999999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IF(22*2*7.5-6%*D6&lt;0,0,22*2*7.5-6%*D6)</f>
        <v>258.30900000000003</v>
      </c>
    </row>
    <row r="17" spans="1:8" ht="13.5" customHeight="1" x14ac:dyDescent="0.2">
      <c r="A17" s="301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769.63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17.920000000000002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11.95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2.39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29.87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95.59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35.85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7.17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200.74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99.53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99.53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16.72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116.25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0.24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0.04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0.28000000000000003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9.9600000000000009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0.8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4.78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18.59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3.12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38.24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75.489999999999995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152</v>
      </c>
      <c r="C60" s="231">
        <v>8.3333000000000004E-2</v>
      </c>
      <c r="D60" s="232">
        <f t="shared" ref="D60:D67" si="2">ROUND(C60*D$14,2)</f>
        <v>99.57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33.18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0.33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0.13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0.33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0.25</v>
      </c>
    </row>
    <row r="66" spans="1:4" ht="11.45" customHeight="1" x14ac:dyDescent="0.2">
      <c r="A66" s="299"/>
      <c r="B66" s="18" t="s">
        <v>37</v>
      </c>
      <c r="C66" s="55">
        <f>SUM(C60:C65)</f>
        <v>0.11198240000000001</v>
      </c>
      <c r="D66" s="30">
        <f t="shared" si="2"/>
        <v>133.80000000000001</v>
      </c>
    </row>
    <row r="67" spans="1:4" ht="11.45" customHeight="1" x14ac:dyDescent="0.2">
      <c r="A67" s="299"/>
      <c r="B67" s="47" t="s">
        <v>55</v>
      </c>
      <c r="C67" s="55">
        <f>C66*C40</f>
        <v>1.8813043200000004E-2</v>
      </c>
      <c r="D67" s="54">
        <f t="shared" si="2"/>
        <v>22.48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0.13079544320000003</v>
      </c>
      <c r="D68" s="40">
        <f>IF($D$14="","ARRED(SOMA(D71:D72);2)",ROUND(SUM(D66:D67),2))</f>
        <v>156.28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200.74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116.25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0.28000000000000003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75.489999999999995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0.13079544320000003</v>
      </c>
      <c r="D75" s="62">
        <f>D68</f>
        <v>156.28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0.45948994320000008</v>
      </c>
      <c r="D76" s="64">
        <f>IF($D$14="","SOMA(D76:D80)",SUM(D71:D75))</f>
        <v>549.04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2581.7199999999998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116.18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121.41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57.25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263.70999999999998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173.5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156.15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888.2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3469.92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/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137</v>
      </c>
      <c r="C2" s="300"/>
      <c r="D2" s="300"/>
    </row>
    <row r="3" spans="1:4" ht="21" customHeight="1" x14ac:dyDescent="0.2">
      <c r="A3" s="5" t="s">
        <v>2</v>
      </c>
      <c r="B3" s="145" t="s">
        <v>143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1706.84</v>
      </c>
    </row>
    <row r="7" spans="1:4" s="13" customFormat="1" x14ac:dyDescent="0.2">
      <c r="A7" s="299"/>
      <c r="B7" s="16" t="s">
        <v>9</v>
      </c>
      <c r="C7" s="15"/>
      <c r="D7" s="94">
        <f>30%*D6</f>
        <v>512.05199999999991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2218.89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IF(22*2*7.5-6%*D6&lt;0,0,22*2*7.5-6%*D6)</f>
        <v>227.58960000000002</v>
      </c>
    </row>
    <row r="17" spans="1:8" ht="13.5" customHeight="1" x14ac:dyDescent="0.2">
      <c r="A17" s="301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738.91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33.28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22.19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4.4400000000000004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55.47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177.51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66.569999999999993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13.31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372.77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184.83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184.83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31.05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215.88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0.44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7.0000000000000007E-2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0.51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18.489999999999998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1.49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8.8699999999999992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34.520000000000003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5.79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71.010000000000005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140.16999999999999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151</v>
      </c>
      <c r="C60" s="231">
        <v>8.3333000000000004E-2</v>
      </c>
      <c r="D60" s="232">
        <f t="shared" ref="D60:D67" si="2">ROUND(C60*D$14,2)</f>
        <v>184.91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61.62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0.62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0.25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0.62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0.46</v>
      </c>
    </row>
    <row r="66" spans="1:4" ht="11.45" customHeight="1" x14ac:dyDescent="0.2">
      <c r="A66" s="299"/>
      <c r="B66" s="18" t="s">
        <v>37</v>
      </c>
      <c r="C66" s="55">
        <f>SUM(C60:C65)</f>
        <v>0.11198240000000001</v>
      </c>
      <c r="D66" s="30">
        <f t="shared" si="2"/>
        <v>248.48</v>
      </c>
    </row>
    <row r="67" spans="1:4" ht="11.45" customHeight="1" x14ac:dyDescent="0.2">
      <c r="A67" s="299"/>
      <c r="B67" s="47" t="s">
        <v>55</v>
      </c>
      <c r="C67" s="55">
        <f>C66*C40</f>
        <v>1.8813043200000004E-2</v>
      </c>
      <c r="D67" s="54">
        <f t="shared" si="2"/>
        <v>41.74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0.13079544320000003</v>
      </c>
      <c r="D68" s="40">
        <f>IF($D$14="","ARRED(SOMA(D71:D72);2)",ROUND(SUM(D66:D67),2))</f>
        <v>290.22000000000003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372.77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215.88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0.51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140.16999999999999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0.13079544320000003</v>
      </c>
      <c r="D75" s="62">
        <f>D68</f>
        <v>290.22000000000003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0.45948994320000008</v>
      </c>
      <c r="D76" s="64">
        <f>IF($D$14="","SOMA(D76:D80)",SUM(D71:D75))</f>
        <v>1019.55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4045.55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182.05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190.24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89.72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413.24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271.87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244.68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1391.8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5437.34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/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138</v>
      </c>
      <c r="C2" s="300"/>
      <c r="D2" s="300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2342.15</v>
      </c>
    </row>
    <row r="7" spans="1:4" s="13" customFormat="1" x14ac:dyDescent="0.2">
      <c r="A7" s="299"/>
      <c r="B7" s="16" t="s">
        <v>9</v>
      </c>
      <c r="C7" s="15"/>
      <c r="D7" s="94">
        <f>30%*D6</f>
        <v>702.64499999999998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3044.8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IF(15*2*7.5-6%*D6&lt;0,0,15*2*7.5-6%*D6)</f>
        <v>84.471000000000004</v>
      </c>
    </row>
    <row r="17" spans="1:8" ht="13.5" customHeight="1" x14ac:dyDescent="0.2">
      <c r="A17" s="301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595.79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45.67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30.45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6.09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76.12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243.58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91.34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18.27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511.52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253.63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253.63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42.61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296.24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0.61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0.09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0.7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25.38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2.04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12.18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47.36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7.95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97.44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192.35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149</v>
      </c>
      <c r="C60" s="231">
        <v>8.3333000000000004E-2</v>
      </c>
      <c r="D60" s="232">
        <f t="shared" ref="D60:D67" si="2">ROUND(C60*D$14,2)</f>
        <v>253.73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84.55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0.85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0.34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0.85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0.64</v>
      </c>
    </row>
    <row r="66" spans="1:4" ht="11.45" customHeight="1" x14ac:dyDescent="0.2">
      <c r="A66" s="299"/>
      <c r="B66" s="18" t="s">
        <v>37</v>
      </c>
      <c r="C66" s="55">
        <f>SUM(C60:C65)</f>
        <v>0.11198240000000001</v>
      </c>
      <c r="D66" s="30">
        <f t="shared" si="2"/>
        <v>340.96</v>
      </c>
    </row>
    <row r="67" spans="1:4" ht="11.45" customHeight="1" x14ac:dyDescent="0.2">
      <c r="A67" s="299"/>
      <c r="B67" s="47" t="s">
        <v>55</v>
      </c>
      <c r="C67" s="55">
        <f>C66*C40</f>
        <v>1.8813043200000004E-2</v>
      </c>
      <c r="D67" s="54">
        <f t="shared" si="2"/>
        <v>57.28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0.13079544320000003</v>
      </c>
      <c r="D68" s="40">
        <f>IF($D$14="","ARRED(SOMA(D71:D72);2)",ROUND(SUM(D66:D67),2))</f>
        <v>398.24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511.52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296.24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0.7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192.35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0.13079544320000003</v>
      </c>
      <c r="D75" s="62">
        <f>D68</f>
        <v>398.24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0.45948994320000008</v>
      </c>
      <c r="D76" s="64">
        <f>IF($D$14="","SOMA(D76:D80)",SUM(D71:D75))</f>
        <v>1399.0500000000002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5107.84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229.85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240.2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113.27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521.75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343.26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308.93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1757.26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6865.1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/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139</v>
      </c>
      <c r="C2" s="300"/>
      <c r="D2" s="300"/>
    </row>
    <row r="3" spans="1:4" ht="21" customHeight="1" x14ac:dyDescent="0.2">
      <c r="A3" s="5" t="s">
        <v>2</v>
      </c>
      <c r="B3" s="152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2342.15</v>
      </c>
    </row>
    <row r="7" spans="1:4" s="13" customFormat="1" x14ac:dyDescent="0.2">
      <c r="A7" s="299"/>
      <c r="B7" s="16" t="s">
        <v>9</v>
      </c>
      <c r="C7" s="15"/>
      <c r="D7" s="94">
        <f>30%*D6</f>
        <v>702.64499999999998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>
        <f>+'Adicional Noturno '!C16</f>
        <v>223.06</v>
      </c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3267.86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IF(15*2*7.5-6%*D6&lt;0,0,15*2*7.5-6%*D6)</f>
        <v>84.471000000000004</v>
      </c>
    </row>
    <row r="17" spans="1:8" ht="13.5" customHeight="1" x14ac:dyDescent="0.2">
      <c r="A17" s="301"/>
      <c r="B17" s="23" t="s">
        <v>145</v>
      </c>
      <c r="C17" s="15"/>
      <c r="D17" s="24">
        <f>15*22.12</f>
        <v>331.8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440.95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49.02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32.68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6.54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81.7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261.43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98.04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19.61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549.02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272.20999999999998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272.20999999999998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45.73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317.94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0.65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0.1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0.75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27.24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2.19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13.07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50.83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8.5299999999999994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104.57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206.43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149</v>
      </c>
      <c r="C60" s="231">
        <v>8.3333000000000004E-2</v>
      </c>
      <c r="D60" s="232">
        <f t="shared" ref="D60:D67" si="2">ROUND(C60*D$14,2)</f>
        <v>272.32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90.75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0.92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0.37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0.91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0.68</v>
      </c>
    </row>
    <row r="66" spans="1:4" ht="11.45" customHeight="1" x14ac:dyDescent="0.2">
      <c r="A66" s="299"/>
      <c r="B66" s="18" t="s">
        <v>37</v>
      </c>
      <c r="C66" s="55">
        <f>SUM(C60:C65)</f>
        <v>0.11198240000000001</v>
      </c>
      <c r="D66" s="30">
        <f t="shared" si="2"/>
        <v>365.94</v>
      </c>
    </row>
    <row r="67" spans="1:4" ht="11.45" customHeight="1" x14ac:dyDescent="0.2">
      <c r="A67" s="299"/>
      <c r="B67" s="47" t="s">
        <v>55</v>
      </c>
      <c r="C67" s="55">
        <f>C66*C40</f>
        <v>1.8813043200000004E-2</v>
      </c>
      <c r="D67" s="54">
        <f t="shared" si="2"/>
        <v>61.48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0.13079544320000003</v>
      </c>
      <c r="D68" s="40">
        <f>IF($D$14="","ARRED(SOMA(D71:D72);2)",ROUND(SUM(D66:D67),2))</f>
        <v>427.42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549.02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317.94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0.75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206.43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0.13079544320000003</v>
      </c>
      <c r="D75" s="62">
        <f>D68</f>
        <v>427.42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0.45948994320000008</v>
      </c>
      <c r="D76" s="64">
        <f>IF($D$14="","SOMA(D76:D80)",SUM(D71:D75))</f>
        <v>1501.5600000000002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5278.57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237.54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248.22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117.06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539.19000000000005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354.73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319.26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1816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7094.56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 D9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D6" sqref="D6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140</v>
      </c>
      <c r="C2" s="300"/>
      <c r="D2" s="300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1156.0899999999999</v>
      </c>
    </row>
    <row r="7" spans="1:4" s="13" customFormat="1" x14ac:dyDescent="0.2">
      <c r="A7" s="299"/>
      <c r="B7" s="16" t="s">
        <v>9</v>
      </c>
      <c r="C7" s="15"/>
      <c r="D7" s="94">
        <f>30%*D6</f>
        <v>346.82699999999994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1502.92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IF(15*2*7.5-6%*D6&lt;0,0,15*2*7.5-6%*D6)</f>
        <v>155.63460000000001</v>
      </c>
    </row>
    <row r="17" spans="1:8" ht="13.5" customHeight="1" x14ac:dyDescent="0.2">
      <c r="A17" s="301"/>
      <c r="B17" s="23" t="s">
        <v>145</v>
      </c>
      <c r="C17" s="15"/>
      <c r="D17" s="24">
        <f>15*22.12</f>
        <v>331.8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147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512.11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22.54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15.03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3.01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37.57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120.23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45.09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9.02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252.49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125.19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125.19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21.03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146.22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0.3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0.05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0.35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12.53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1.01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6.01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23.38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3.92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48.09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94.94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149</v>
      </c>
      <c r="C60" s="231">
        <v>8.3333000000000004E-2</v>
      </c>
      <c r="D60" s="232">
        <f t="shared" ref="D60:D67" si="2">ROUND(C60*D$14,2)</f>
        <v>125.24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41.74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0.42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0.17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0.42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0.31</v>
      </c>
    </row>
    <row r="66" spans="1:4" ht="11.45" customHeight="1" x14ac:dyDescent="0.2">
      <c r="A66" s="299"/>
      <c r="B66" s="18" t="s">
        <v>37</v>
      </c>
      <c r="C66" s="55">
        <f>SUM(C60:C65)</f>
        <v>0.11198240000000001</v>
      </c>
      <c r="D66" s="30">
        <f t="shared" si="2"/>
        <v>168.3</v>
      </c>
    </row>
    <row r="67" spans="1:4" ht="11.45" customHeight="1" x14ac:dyDescent="0.2">
      <c r="A67" s="299"/>
      <c r="B67" s="47" t="s">
        <v>55</v>
      </c>
      <c r="C67" s="55">
        <f>C66*C40</f>
        <v>1.8813043200000004E-2</v>
      </c>
      <c r="D67" s="54">
        <f t="shared" si="2"/>
        <v>28.27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0.13079544320000003</v>
      </c>
      <c r="D68" s="40">
        <f>IF($D$14="","ARRED(SOMA(D71:D72);2)",ROUND(SUM(D66:D67),2))</f>
        <v>196.57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252.49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146.22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0.35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94.94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0.13079544320000003</v>
      </c>
      <c r="D75" s="62">
        <f>D68</f>
        <v>196.57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0.45948994320000008</v>
      </c>
      <c r="D76" s="64">
        <f>IF($D$14="","SOMA(D76:D80)",SUM(D71:D75))</f>
        <v>690.57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2773.8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124.82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130.44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61.51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283.33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186.4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167.76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954.26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3728.07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D7" sqref="D7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141</v>
      </c>
      <c r="C2" s="300"/>
      <c r="D2" s="300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1156.0899999999999</v>
      </c>
    </row>
    <row r="7" spans="1:4" s="13" customFormat="1" x14ac:dyDescent="0.2">
      <c r="A7" s="299"/>
      <c r="B7" s="16" t="s">
        <v>9</v>
      </c>
      <c r="C7" s="15"/>
      <c r="D7" s="94">
        <f>30%*D6</f>
        <v>346.82699999999994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>
        <f>+'Adicional Noturno '!F16</f>
        <v>110.1</v>
      </c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1613.02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IF(15*2*7.5-6%*D6&lt;0,0,15*2*7.5-6%*D6)</f>
        <v>155.63460000000001</v>
      </c>
    </row>
    <row r="17" spans="1:8" ht="13.5" customHeight="1" x14ac:dyDescent="0.2">
      <c r="A17" s="301"/>
      <c r="B17" s="23" t="s">
        <v>145</v>
      </c>
      <c r="C17" s="15"/>
      <c r="D17" s="24">
        <f>15*22.12</f>
        <v>331.8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147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512.11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24.2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16.13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3.23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40.33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129.04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48.39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9.68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271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134.36000000000001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134.36000000000001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22.57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156.93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0.32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0.05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0.37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13.44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1.08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6.45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25.09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4.21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51.62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101.89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150</v>
      </c>
      <c r="C60" s="231">
        <v>8.3333000000000004E-2</v>
      </c>
      <c r="D60" s="232">
        <f t="shared" ref="D60:D67" si="2">ROUND(C60*D$14,2)</f>
        <v>134.41999999999999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44.79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0.45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0.18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0.45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0.34</v>
      </c>
    </row>
    <row r="66" spans="1:4" ht="11.45" customHeight="1" x14ac:dyDescent="0.2">
      <c r="A66" s="299"/>
      <c r="B66" s="18" t="s">
        <v>37</v>
      </c>
      <c r="C66" s="55">
        <f>SUM(C60:C65)</f>
        <v>0.11198240000000001</v>
      </c>
      <c r="D66" s="30">
        <f t="shared" si="2"/>
        <v>180.63</v>
      </c>
    </row>
    <row r="67" spans="1:4" ht="11.45" customHeight="1" x14ac:dyDescent="0.2">
      <c r="A67" s="299"/>
      <c r="B67" s="47" t="s">
        <v>55</v>
      </c>
      <c r="C67" s="55">
        <f>C66*C40</f>
        <v>1.8813043200000004E-2</v>
      </c>
      <c r="D67" s="54">
        <f t="shared" si="2"/>
        <v>30.35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0.13079544320000003</v>
      </c>
      <c r="D68" s="40">
        <f>IF($D$14="","ARRED(SOMA(D71:D72);2)",ROUND(SUM(D66:D67),2))</f>
        <v>210.98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271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156.93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0.37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101.89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0.13079544320000003</v>
      </c>
      <c r="D75" s="62">
        <f>D68</f>
        <v>210.98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0.45948994320000008</v>
      </c>
      <c r="D76" s="64">
        <f>IF($D$14="","SOMA(D76:D80)",SUM(D71:D75))</f>
        <v>741.17000000000007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2934.5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132.05000000000001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137.99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65.08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299.75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197.2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177.48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1009.55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3944.05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 D9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48"/>
  <sheetViews>
    <sheetView topLeftCell="A10" zoomScaleNormal="100" zoomScaleSheetLayoutView="115" workbookViewId="0">
      <selection activeCell="H19" sqref="H19"/>
    </sheetView>
  </sheetViews>
  <sheetFormatPr defaultColWidth="11.42578125" defaultRowHeight="12.75" x14ac:dyDescent="0.2"/>
  <cols>
    <col min="1" max="1" width="7.7109375" style="113" customWidth="1"/>
    <col min="2" max="2" width="48.42578125" style="113" customWidth="1"/>
    <col min="3" max="3" width="14.28515625" style="113" customWidth="1"/>
    <col min="4" max="4" width="31.28515625" style="113" customWidth="1"/>
    <col min="5" max="5" width="22.85546875" style="113" bestFit="1" customWidth="1"/>
    <col min="6" max="6" width="14" style="113" customWidth="1"/>
    <col min="7" max="7" width="15.7109375" style="114" customWidth="1"/>
    <col min="8" max="8" width="20.5703125" style="113" bestFit="1" customWidth="1"/>
    <col min="9" max="9" width="20.42578125" style="113" bestFit="1" customWidth="1"/>
    <col min="10" max="10" width="6.42578125" style="113" customWidth="1"/>
    <col min="11" max="11" width="20.42578125" style="113" bestFit="1" customWidth="1"/>
    <col min="12" max="12" width="11.42578125" style="113"/>
    <col min="13" max="14" width="0" style="113" hidden="1" customWidth="1"/>
    <col min="15" max="16384" width="11.42578125" style="113"/>
  </cols>
  <sheetData>
    <row r="1" spans="1:14" s="96" customFormat="1" ht="18" x14ac:dyDescent="0.2">
      <c r="B1" s="97"/>
      <c r="C1" s="97"/>
      <c r="F1" s="1"/>
      <c r="G1" s="98"/>
      <c r="H1" s="99"/>
    </row>
    <row r="2" spans="1:14" s="100" customFormat="1" ht="27.75" customHeight="1" x14ac:dyDescent="0.2">
      <c r="A2" s="229" t="s">
        <v>125</v>
      </c>
      <c r="B2" s="229"/>
      <c r="C2" s="229"/>
      <c r="D2" s="229"/>
      <c r="E2" s="229"/>
      <c r="F2" s="229"/>
      <c r="G2" s="229"/>
      <c r="H2" s="229"/>
      <c r="I2" s="229"/>
      <c r="K2" s="229" t="s">
        <v>266</v>
      </c>
    </row>
    <row r="3" spans="1:14" s="100" customFormat="1" ht="14.25" customHeight="1" x14ac:dyDescent="0.2">
      <c r="A3" s="304"/>
      <c r="B3" s="304"/>
      <c r="C3" s="304"/>
      <c r="D3" s="304"/>
      <c r="E3" s="304"/>
      <c r="F3" s="304"/>
      <c r="G3" s="304"/>
      <c r="H3" s="304"/>
      <c r="I3" s="304"/>
    </row>
    <row r="4" spans="1:14" s="100" customFormat="1" ht="45" x14ac:dyDescent="0.2">
      <c r="A4" s="101" t="s">
        <v>92</v>
      </c>
      <c r="B4" s="101" t="s">
        <v>93</v>
      </c>
      <c r="C4" s="101" t="s">
        <v>89</v>
      </c>
      <c r="D4" s="101" t="s">
        <v>94</v>
      </c>
      <c r="E4" s="101" t="s">
        <v>95</v>
      </c>
      <c r="F4" s="101" t="s">
        <v>96</v>
      </c>
      <c r="G4" s="101" t="s">
        <v>97</v>
      </c>
      <c r="H4" s="101" t="s">
        <v>98</v>
      </c>
      <c r="I4" s="101" t="s">
        <v>99</v>
      </c>
      <c r="K4" s="101" t="s">
        <v>157</v>
      </c>
      <c r="N4" s="251">
        <f>+SUM(N5:N18)*36</f>
        <v>179129.27999999997</v>
      </c>
    </row>
    <row r="5" spans="1:14" s="100" customFormat="1" ht="30" customHeight="1" x14ac:dyDescent="0.2">
      <c r="A5" s="102">
        <v>1</v>
      </c>
      <c r="B5" s="95" t="str">
        <f>+'Item 1'!$B$2:$D$2</f>
        <v xml:space="preserve">SUPERVISOR TÉCNICO AR-CONDICIONADO - 40 hrs </v>
      </c>
      <c r="C5" s="103">
        <v>1</v>
      </c>
      <c r="D5" s="104">
        <f>+'Item 1'!$D$14</f>
        <v>10353.85</v>
      </c>
      <c r="E5" s="105">
        <f>+'Item 1'!$D$93</f>
        <v>19686.88</v>
      </c>
      <c r="F5" s="106">
        <f>IF(C5&gt;0,E5/D5,0)</f>
        <v>1.9014067231030003</v>
      </c>
      <c r="G5" s="106">
        <f t="shared" ref="G5:G18" si="0">IF(C5&gt;0,F5*C5,0)</f>
        <v>1.9014067231030003</v>
      </c>
      <c r="H5" s="104">
        <f>IF(C5&gt;0,ROUND(C5*E5,2),0)</f>
        <v>19686.88</v>
      </c>
      <c r="I5" s="104">
        <f>IF(C5&gt;0,ROUND(H5*12,2),0)</f>
        <v>236242.56</v>
      </c>
      <c r="K5" s="104">
        <f t="shared" ref="K5:K20" si="1">+I5*3</f>
        <v>708727.67999999993</v>
      </c>
      <c r="M5" s="250">
        <f>+'Item 1'!$D$25+'Item 1'!$D$27</f>
        <v>32.724999999999994</v>
      </c>
      <c r="N5" s="250">
        <f>+M5*C5</f>
        <v>32.724999999999994</v>
      </c>
    </row>
    <row r="6" spans="1:14" s="100" customFormat="1" ht="30" customHeight="1" x14ac:dyDescent="0.2">
      <c r="A6" s="102">
        <v>2</v>
      </c>
      <c r="B6" s="95" t="str">
        <f>+'Item 2'!$B$2:$D$2</f>
        <v>SUPERVISOR TÉCNICO COMANDO E AUTOMAÇÃO - 40 hrs</v>
      </c>
      <c r="C6" s="103">
        <v>1</v>
      </c>
      <c r="D6" s="104">
        <f>+'Item 2'!$D$14</f>
        <v>10353.85</v>
      </c>
      <c r="E6" s="105">
        <f>+'Item 2'!$D$93</f>
        <v>19686.88</v>
      </c>
      <c r="F6" s="106">
        <f t="shared" ref="F6:F17" si="2">IF(C6&gt;0,E6/D6,0)</f>
        <v>1.9014067231030003</v>
      </c>
      <c r="G6" s="106">
        <f t="shared" si="0"/>
        <v>1.9014067231030003</v>
      </c>
      <c r="H6" s="104">
        <f t="shared" ref="H6:H18" si="3">IF(C6&gt;0,ROUND(C6*E6,2),0)</f>
        <v>19686.88</v>
      </c>
      <c r="I6" s="104">
        <f t="shared" ref="I6:I18" si="4">IF(C6&gt;0,ROUND(H6*12,2),0)</f>
        <v>236242.56</v>
      </c>
      <c r="K6" s="104">
        <f t="shared" si="1"/>
        <v>708727.67999999993</v>
      </c>
      <c r="M6" s="250">
        <f>+'Item 2'!$D$25+'Item 2'!$D$27</f>
        <v>32.724999999999994</v>
      </c>
      <c r="N6" s="250">
        <f t="shared" ref="N6:N18" si="5">+M6*C6</f>
        <v>32.724999999999994</v>
      </c>
    </row>
    <row r="7" spans="1:14" s="100" customFormat="1" ht="30" customHeight="1" x14ac:dyDescent="0.2">
      <c r="A7" s="102">
        <v>3</v>
      </c>
      <c r="B7" s="95" t="str">
        <f>+'Item 3'!$B$2:$D$2</f>
        <v>ENCARREGADO - 44 hrs</v>
      </c>
      <c r="C7" s="103">
        <v>4</v>
      </c>
      <c r="D7" s="104">
        <f>+'Item 3'!$D$14</f>
        <v>3838.52</v>
      </c>
      <c r="E7" s="105">
        <f>+'Item 3'!$D$93</f>
        <v>8011.84</v>
      </c>
      <c r="F7" s="106">
        <f t="shared" si="2"/>
        <v>2.0872211164719738</v>
      </c>
      <c r="G7" s="106">
        <f t="shared" si="0"/>
        <v>8.3488844658878953</v>
      </c>
      <c r="H7" s="104">
        <f t="shared" si="3"/>
        <v>32047.360000000001</v>
      </c>
      <c r="I7" s="104">
        <f t="shared" si="4"/>
        <v>384568.32000000001</v>
      </c>
      <c r="K7" s="104">
        <f t="shared" si="1"/>
        <v>1153704.96</v>
      </c>
      <c r="M7" s="250">
        <f>+'Item 3'!$D$25+'Item 3'!$D$27</f>
        <v>68.199490740740742</v>
      </c>
      <c r="N7" s="250">
        <f t="shared" si="5"/>
        <v>272.79796296296297</v>
      </c>
    </row>
    <row r="8" spans="1:14" s="100" customFormat="1" ht="30" customHeight="1" x14ac:dyDescent="0.2">
      <c r="A8" s="102">
        <v>4</v>
      </c>
      <c r="B8" s="95" t="str">
        <f>+'Item 4'!$B$2:$D$2</f>
        <v>TÉCNICO ELETROMECÂNICO / AR-CONDICIONADO - 44 hras</v>
      </c>
      <c r="C8" s="103">
        <v>6</v>
      </c>
      <c r="D8" s="104">
        <f>+'Item 4'!$D$14</f>
        <v>3044.8</v>
      </c>
      <c r="E8" s="105">
        <f>+'Item 4'!$D$93</f>
        <v>6607.9</v>
      </c>
      <c r="F8" s="106">
        <f t="shared" si="2"/>
        <v>2.1702246452968992</v>
      </c>
      <c r="G8" s="106">
        <f t="shared" si="0"/>
        <v>13.021347871781394</v>
      </c>
      <c r="H8" s="104">
        <f t="shared" si="3"/>
        <v>39647.4</v>
      </c>
      <c r="I8" s="104">
        <f t="shared" si="4"/>
        <v>475768.8</v>
      </c>
      <c r="K8" s="104">
        <f t="shared" si="1"/>
        <v>1427306.4</v>
      </c>
      <c r="M8" s="250">
        <f>+'Item 4'!$D$25+'Item 4'!$D$27</f>
        <v>68.199490740740742</v>
      </c>
      <c r="N8" s="250">
        <f t="shared" si="5"/>
        <v>409.19694444444445</v>
      </c>
    </row>
    <row r="9" spans="1:14" s="100" customFormat="1" ht="30" customHeight="1" x14ac:dyDescent="0.2">
      <c r="A9" s="102">
        <v>5</v>
      </c>
      <c r="B9" s="95" t="str">
        <f>+'Item 5'!$B$2:$D$2</f>
        <v>TÉCNICO EM COMANDO ELÉTRICO / AUTOMAÇÃO - 44hrs</v>
      </c>
      <c r="C9" s="103">
        <v>6</v>
      </c>
      <c r="D9" s="104">
        <f>+'Item 5'!$D$14</f>
        <v>3044.8</v>
      </c>
      <c r="E9" s="105">
        <f>+'Item 5'!$D$93</f>
        <v>6607.9</v>
      </c>
      <c r="F9" s="106">
        <f t="shared" si="2"/>
        <v>2.1702246452968992</v>
      </c>
      <c r="G9" s="106">
        <f t="shared" si="0"/>
        <v>13.021347871781394</v>
      </c>
      <c r="H9" s="104">
        <f t="shared" si="3"/>
        <v>39647.4</v>
      </c>
      <c r="I9" s="104">
        <f t="shared" si="4"/>
        <v>475768.8</v>
      </c>
      <c r="K9" s="104">
        <f t="shared" si="1"/>
        <v>1427306.4</v>
      </c>
      <c r="M9" s="250">
        <f>+'Item 5'!$D$25+'Item 5'!$D$27</f>
        <v>68.199490740740742</v>
      </c>
      <c r="N9" s="250">
        <f t="shared" si="5"/>
        <v>409.19694444444445</v>
      </c>
    </row>
    <row r="10" spans="1:14" s="100" customFormat="1" ht="30" customHeight="1" x14ac:dyDescent="0.2">
      <c r="A10" s="102">
        <v>6</v>
      </c>
      <c r="B10" s="95" t="str">
        <f>+'Item 6'!$B$2:$D$2</f>
        <v>ELETROMECÂNICO DE AR-CONDICIONADO - 44hrs</v>
      </c>
      <c r="C10" s="103">
        <v>22</v>
      </c>
      <c r="D10" s="104">
        <f>+'Item 6'!$D$14</f>
        <v>3044.8</v>
      </c>
      <c r="E10" s="105">
        <f>+'Item 6'!$D$93</f>
        <v>6607.9</v>
      </c>
      <c r="F10" s="106">
        <f t="shared" si="2"/>
        <v>2.1702246452968992</v>
      </c>
      <c r="G10" s="106">
        <f t="shared" si="0"/>
        <v>47.744942196531781</v>
      </c>
      <c r="H10" s="104">
        <f t="shared" si="3"/>
        <v>145373.79999999999</v>
      </c>
      <c r="I10" s="104">
        <f>IF(C10&gt;0,ROUND(H10*12,2),0)</f>
        <v>1744485.6</v>
      </c>
      <c r="K10" s="104">
        <f t="shared" si="1"/>
        <v>5233456.8000000007</v>
      </c>
      <c r="M10" s="250">
        <f>+'Item 6'!$D$25+'Item 6'!$D$27</f>
        <v>68.199490740740742</v>
      </c>
      <c r="N10" s="250">
        <f t="shared" si="5"/>
        <v>1500.3887962962963</v>
      </c>
    </row>
    <row r="11" spans="1:14" s="100" customFormat="1" ht="30" customHeight="1" x14ac:dyDescent="0.2">
      <c r="A11" s="102">
        <v>7</v>
      </c>
      <c r="B11" s="95" t="str">
        <f>+'Item 7'!$B$2:$D$2</f>
        <v>AUXILIAR DE MANUTENÇÃO - 44hrs</v>
      </c>
      <c r="C11" s="103">
        <v>23</v>
      </c>
      <c r="D11" s="104">
        <f>+'Item 7'!$D$14</f>
        <v>1502.92</v>
      </c>
      <c r="E11" s="105">
        <f>+'Item 7'!$D$93</f>
        <v>3880.7</v>
      </c>
      <c r="F11" s="106">
        <f t="shared" si="2"/>
        <v>2.5821068320336411</v>
      </c>
      <c r="G11" s="106">
        <f t="shared" si="0"/>
        <v>59.388457136773745</v>
      </c>
      <c r="H11" s="104">
        <f t="shared" si="3"/>
        <v>89256.1</v>
      </c>
      <c r="I11" s="104">
        <f t="shared" si="4"/>
        <v>1071073.2</v>
      </c>
      <c r="K11" s="104">
        <f t="shared" si="1"/>
        <v>3213219.5999999996</v>
      </c>
      <c r="M11" s="250">
        <f>+'Item 7'!$D$25+'Item 7'!$D$27</f>
        <v>68.199490740740742</v>
      </c>
      <c r="N11" s="250">
        <f t="shared" si="5"/>
        <v>1568.5882870370372</v>
      </c>
    </row>
    <row r="12" spans="1:14" s="100" customFormat="1" ht="30" customHeight="1" x14ac:dyDescent="0.2">
      <c r="A12" s="102">
        <v>8</v>
      </c>
      <c r="B12" s="95" t="str">
        <f>+'Item 8'!$B$2:$D$2</f>
        <v>AUXILIAR ADMINISTRATIVO - 44hrs</v>
      </c>
      <c r="C12" s="103">
        <v>1</v>
      </c>
      <c r="D12" s="104">
        <f>+'Item 8'!$D$14</f>
        <v>1194.8499999999999</v>
      </c>
      <c r="E12" s="105">
        <f>+'Item 8'!$D$93</f>
        <v>3469.92</v>
      </c>
      <c r="F12" s="106">
        <f t="shared" si="2"/>
        <v>2.9040632715403611</v>
      </c>
      <c r="G12" s="106">
        <f t="shared" si="0"/>
        <v>2.9040632715403611</v>
      </c>
      <c r="H12" s="104">
        <f t="shared" si="3"/>
        <v>3469.92</v>
      </c>
      <c r="I12" s="104">
        <f t="shared" si="4"/>
        <v>41639.040000000001</v>
      </c>
      <c r="K12" s="104">
        <f t="shared" si="1"/>
        <v>124917.12</v>
      </c>
      <c r="M12" s="250">
        <f>+'Item 8'!$D$25+'Item 8'!$D$27</f>
        <v>68.199490740740742</v>
      </c>
      <c r="N12" s="250">
        <f t="shared" si="5"/>
        <v>68.199490740740742</v>
      </c>
    </row>
    <row r="13" spans="1:14" s="100" customFormat="1" ht="30" customHeight="1" x14ac:dyDescent="0.2">
      <c r="A13" s="102">
        <v>9</v>
      </c>
      <c r="B13" s="95" t="str">
        <f>+'Item 9'!$B$2:$D$2</f>
        <v>AUXILIAR DE ALMOXARIFADO - 44hrs</v>
      </c>
      <c r="C13" s="103">
        <v>1</v>
      </c>
      <c r="D13" s="104">
        <f>+'Item 9'!$D$14</f>
        <v>1194.8499999999999</v>
      </c>
      <c r="E13" s="105">
        <f>+'Item 9'!$D$93</f>
        <v>3469.92</v>
      </c>
      <c r="F13" s="106">
        <f t="shared" si="2"/>
        <v>2.9040632715403611</v>
      </c>
      <c r="G13" s="106">
        <f t="shared" si="0"/>
        <v>2.9040632715403611</v>
      </c>
      <c r="H13" s="104">
        <f t="shared" si="3"/>
        <v>3469.92</v>
      </c>
      <c r="I13" s="104">
        <f t="shared" si="4"/>
        <v>41639.040000000001</v>
      </c>
      <c r="K13" s="104">
        <f t="shared" si="1"/>
        <v>124917.12</v>
      </c>
      <c r="M13" s="250">
        <f>+'Item 9'!$D$25+'Item 9'!$D$27</f>
        <v>68.199490740740742</v>
      </c>
      <c r="N13" s="250">
        <f t="shared" si="5"/>
        <v>68.199490740740742</v>
      </c>
    </row>
    <row r="14" spans="1:14" s="100" customFormat="1" ht="30" customHeight="1" x14ac:dyDescent="0.2">
      <c r="A14" s="102">
        <v>10</v>
      </c>
      <c r="B14" s="95" t="str">
        <f>+'Item 10'!$B$2:$D$2</f>
        <v>DUTEIRO - 44hrs</v>
      </c>
      <c r="C14" s="103">
        <v>1</v>
      </c>
      <c r="D14" s="104">
        <f>+'Item 10'!$D$14</f>
        <v>2218.89</v>
      </c>
      <c r="E14" s="105">
        <f>+'Item 10'!$D$93</f>
        <v>5437.34</v>
      </c>
      <c r="F14" s="106">
        <f t="shared" si="2"/>
        <v>2.4504774909977511</v>
      </c>
      <c r="G14" s="106">
        <f t="shared" si="0"/>
        <v>2.4504774909977511</v>
      </c>
      <c r="H14" s="104">
        <f t="shared" si="3"/>
        <v>5437.34</v>
      </c>
      <c r="I14" s="104">
        <f t="shared" si="4"/>
        <v>65248.08</v>
      </c>
      <c r="K14" s="104">
        <f t="shared" si="1"/>
        <v>195744.24</v>
      </c>
      <c r="M14" s="250">
        <f>+'Item 10'!$D$25+'Item 10'!$D$27</f>
        <v>68.199490740740742</v>
      </c>
      <c r="N14" s="250">
        <f t="shared" si="5"/>
        <v>68.199490740740742</v>
      </c>
    </row>
    <row r="15" spans="1:14" s="100" customFormat="1" ht="30" customHeight="1" x14ac:dyDescent="0.2">
      <c r="A15" s="102">
        <v>11</v>
      </c>
      <c r="B15" s="95" t="str">
        <f>+'Item 11'!$B$2:$D$2</f>
        <v>ELETROMECÂNICO DE AR-CONDICIONADO PLANTONISTA - 12x36hrs - DIURNO</v>
      </c>
      <c r="C15" s="103">
        <v>2</v>
      </c>
      <c r="D15" s="104">
        <f>+'Item 11'!$D$14</f>
        <v>3044.8</v>
      </c>
      <c r="E15" s="105">
        <f>+'Item 11'!$D$93</f>
        <v>6865.1</v>
      </c>
      <c r="F15" s="106">
        <f t="shared" si="2"/>
        <v>2.2546965317919074</v>
      </c>
      <c r="G15" s="106">
        <f t="shared" si="0"/>
        <v>4.5093930635838149</v>
      </c>
      <c r="H15" s="104">
        <f t="shared" si="3"/>
        <v>13730.2</v>
      </c>
      <c r="I15" s="104">
        <f t="shared" si="4"/>
        <v>164762.4</v>
      </c>
      <c r="K15" s="104">
        <f t="shared" si="1"/>
        <v>494287.19999999995</v>
      </c>
      <c r="M15" s="250">
        <f>+'Item 11'!$D$25+'Item 11'!$D$27</f>
        <v>68.199490740740742</v>
      </c>
      <c r="N15" s="250">
        <f t="shared" si="5"/>
        <v>136.39898148148148</v>
      </c>
    </row>
    <row r="16" spans="1:14" s="100" customFormat="1" ht="30" customHeight="1" x14ac:dyDescent="0.2">
      <c r="A16" s="102">
        <v>12</v>
      </c>
      <c r="B16" s="95" t="str">
        <f>+'Item 12'!$B$2:$D$2</f>
        <v>ELETROMECÂNICO DE AR-CONDICIONADO PLANTONISTA - 12x36hrs - NOTURNO</v>
      </c>
      <c r="C16" s="103">
        <v>2</v>
      </c>
      <c r="D16" s="104">
        <f>+'Item 12'!$D$14</f>
        <v>3267.86</v>
      </c>
      <c r="E16" s="105">
        <f>+'Item 12'!$D$93</f>
        <v>7094.56</v>
      </c>
      <c r="F16" s="106">
        <f t="shared" si="2"/>
        <v>2.1710109980231711</v>
      </c>
      <c r="G16" s="106">
        <f t="shared" si="0"/>
        <v>4.3420219960463422</v>
      </c>
      <c r="H16" s="104">
        <f t="shared" si="3"/>
        <v>14189.12</v>
      </c>
      <c r="I16" s="104">
        <f t="shared" si="4"/>
        <v>170269.44</v>
      </c>
      <c r="K16" s="104">
        <f t="shared" si="1"/>
        <v>510808.32000000001</v>
      </c>
      <c r="M16" s="250">
        <f>+'Item 12'!$D$25+'Item 12'!$D$27</f>
        <v>68.199490740740742</v>
      </c>
      <c r="N16" s="250">
        <f t="shared" si="5"/>
        <v>136.39898148148148</v>
      </c>
    </row>
    <row r="17" spans="1:14" s="100" customFormat="1" ht="30" customHeight="1" x14ac:dyDescent="0.2">
      <c r="A17" s="102">
        <v>13</v>
      </c>
      <c r="B17" s="95" t="str">
        <f>+'Item 13'!$B$2:$D$2</f>
        <v>AUXILIAR DE MANUTENÇÃO PLANTONISTA - 12x36hrs - DIURNO</v>
      </c>
      <c r="C17" s="103">
        <v>2</v>
      </c>
      <c r="D17" s="104">
        <f>+'Item 13'!$D$14</f>
        <v>1502.92</v>
      </c>
      <c r="E17" s="105">
        <f>+'Item 13'!$D$93</f>
        <v>3728.07</v>
      </c>
      <c r="F17" s="106">
        <f t="shared" si="2"/>
        <v>2.4805511936763103</v>
      </c>
      <c r="G17" s="106">
        <f t="shared" si="0"/>
        <v>4.9611023873526205</v>
      </c>
      <c r="H17" s="104">
        <f t="shared" si="3"/>
        <v>7456.14</v>
      </c>
      <c r="I17" s="104">
        <f t="shared" si="4"/>
        <v>89473.68</v>
      </c>
      <c r="K17" s="104">
        <f t="shared" si="1"/>
        <v>268421.03999999998</v>
      </c>
      <c r="M17" s="250">
        <f>+'Item 13'!$D$25+'Item 13'!$D$27</f>
        <v>68.199490740740742</v>
      </c>
      <c r="N17" s="250">
        <f t="shared" si="5"/>
        <v>136.39898148148148</v>
      </c>
    </row>
    <row r="18" spans="1:14" s="100" customFormat="1" ht="30" customHeight="1" x14ac:dyDescent="0.2">
      <c r="A18" s="102">
        <v>14</v>
      </c>
      <c r="B18" s="95" t="str">
        <f>+'Item 14'!$B$2:$D$2</f>
        <v>AUXILIAR DE MANUTENÇÃO PLANTONISTA - 12x36hrs - NOTURNO</v>
      </c>
      <c r="C18" s="103">
        <v>2</v>
      </c>
      <c r="D18" s="104">
        <f>+'Item 14'!$D$14</f>
        <v>1613.02</v>
      </c>
      <c r="E18" s="105">
        <f>+'Item 14'!$D$93</f>
        <v>3944.05</v>
      </c>
      <c r="F18" s="106">
        <f>IF(C18&gt;0,E18/D18,0)</f>
        <v>2.4451339723004057</v>
      </c>
      <c r="G18" s="106">
        <f t="shared" si="0"/>
        <v>4.8902679446008115</v>
      </c>
      <c r="H18" s="104">
        <f t="shared" si="3"/>
        <v>7888.1</v>
      </c>
      <c r="I18" s="104">
        <f t="shared" si="4"/>
        <v>94657.2</v>
      </c>
      <c r="K18" s="104">
        <f t="shared" si="1"/>
        <v>283971.59999999998</v>
      </c>
      <c r="M18" s="250">
        <f>+'Item 14'!$D$25+'Item 14'!$D$27</f>
        <v>68.199490740740742</v>
      </c>
      <c r="N18" s="250">
        <f t="shared" si="5"/>
        <v>136.39898148148148</v>
      </c>
    </row>
    <row r="19" spans="1:14" s="100" customFormat="1" ht="15.75" x14ac:dyDescent="0.2">
      <c r="A19" s="107"/>
      <c r="B19" s="108" t="s">
        <v>90</v>
      </c>
      <c r="C19" s="109">
        <f>+SUM(C5:C18)</f>
        <v>74</v>
      </c>
      <c r="D19" s="110">
        <f>SUM(D5:D18)</f>
        <v>49220.729999999996</v>
      </c>
      <c r="E19" s="110">
        <f>+SUMPRODUCT($C$5:$C$18,$D$5:$D$18)</f>
        <v>197617.93000000005</v>
      </c>
      <c r="F19" s="111"/>
      <c r="G19" s="111">
        <f>SUM(G5:G18)/C19</f>
        <v>2.32823219479222</v>
      </c>
      <c r="H19" s="110">
        <f>ROUND(SUM(H5:H18),2)</f>
        <v>440986.56</v>
      </c>
      <c r="I19" s="112"/>
      <c r="K19" s="112"/>
    </row>
    <row r="20" spans="1:14" s="100" customFormat="1" ht="15.75" x14ac:dyDescent="0.2">
      <c r="A20" s="107"/>
      <c r="B20" s="108" t="s">
        <v>91</v>
      </c>
      <c r="C20" s="112"/>
      <c r="D20" s="110">
        <f>ROUND(D19*12,2)</f>
        <v>590648.76</v>
      </c>
      <c r="E20" s="110">
        <f>ROUND(E19*12,2)</f>
        <v>2371415.16</v>
      </c>
      <c r="F20" s="111"/>
      <c r="G20" s="112"/>
      <c r="H20" s="112"/>
      <c r="I20" s="110">
        <f>SUM(I5:I18)</f>
        <v>5291838.7200000007</v>
      </c>
      <c r="K20" s="110">
        <f t="shared" si="1"/>
        <v>15875516.160000002</v>
      </c>
    </row>
    <row r="21" spans="1:14" s="100" customFormat="1" ht="27.75" hidden="1" customHeight="1" x14ac:dyDescent="0.2">
      <c r="A21" s="305" t="s">
        <v>100</v>
      </c>
      <c r="B21" s="305"/>
      <c r="C21" s="305"/>
      <c r="D21" s="305"/>
      <c r="E21" s="305"/>
      <c r="F21" s="305"/>
      <c r="G21" s="305"/>
      <c r="H21" s="305"/>
      <c r="I21" s="305"/>
    </row>
    <row r="22" spans="1:14" s="100" customFormat="1" ht="14.25" hidden="1" customHeight="1" x14ac:dyDescent="0.2">
      <c r="A22" s="303"/>
      <c r="B22" s="303"/>
      <c r="C22" s="303"/>
      <c r="D22" s="303"/>
      <c r="E22" s="303"/>
      <c r="F22" s="303"/>
      <c r="G22" s="303"/>
      <c r="H22" s="303"/>
      <c r="I22" s="303"/>
    </row>
    <row r="23" spans="1:14" s="100" customFormat="1" ht="45" hidden="1" x14ac:dyDescent="0.2">
      <c r="A23" s="101" t="s">
        <v>92</v>
      </c>
      <c r="B23" s="101" t="s">
        <v>93</v>
      </c>
      <c r="C23" s="101" t="s">
        <v>89</v>
      </c>
      <c r="D23" s="101" t="s">
        <v>101</v>
      </c>
      <c r="E23" s="101" t="s">
        <v>95</v>
      </c>
      <c r="F23" s="101" t="s">
        <v>96</v>
      </c>
      <c r="G23" s="101" t="s">
        <v>97</v>
      </c>
      <c r="H23" s="101" t="s">
        <v>98</v>
      </c>
      <c r="I23" s="101" t="s">
        <v>99</v>
      </c>
      <c r="K23" s="101"/>
    </row>
    <row r="24" spans="1:14" s="100" customFormat="1" ht="30" hidden="1" customHeight="1" x14ac:dyDescent="0.2">
      <c r="A24" s="102">
        <v>11</v>
      </c>
      <c r="B24" s="95" t="e">
        <f>#REF!</f>
        <v>#REF!</v>
      </c>
      <c r="C24" s="103">
        <v>56</v>
      </c>
      <c r="D24" s="104" t="e">
        <f>#REF!</f>
        <v>#REF!</v>
      </c>
      <c r="E24" s="105" t="e">
        <f>#REF!</f>
        <v>#REF!</v>
      </c>
      <c r="F24" s="106" t="e">
        <f t="shared" ref="F24:F25" si="6">IF(C24&gt;0,E24/D24,0)</f>
        <v>#REF!</v>
      </c>
      <c r="G24" s="106" t="e">
        <f t="shared" ref="G24" si="7">IF(C24&gt;0,F24*C24,0)</f>
        <v>#REF!</v>
      </c>
      <c r="H24" s="104" t="e">
        <f>IF(C24&gt;0,ROUND(C24*E24,2),0)</f>
        <v>#REF!</v>
      </c>
      <c r="I24" s="104" t="e">
        <f>IF(C24&gt;0,ROUND(H24*12,2),0)</f>
        <v>#REF!</v>
      </c>
      <c r="K24" s="104"/>
    </row>
    <row r="25" spans="1:14" s="100" customFormat="1" ht="30" hidden="1" customHeight="1" x14ac:dyDescent="0.2">
      <c r="A25" s="102">
        <v>12</v>
      </c>
      <c r="B25" s="95" t="e">
        <f>#REF!</f>
        <v>#REF!</v>
      </c>
      <c r="C25" s="103">
        <v>56</v>
      </c>
      <c r="D25" s="104" t="e">
        <f>#REF!</f>
        <v>#REF!</v>
      </c>
      <c r="E25" s="105" t="e">
        <f>#REF!</f>
        <v>#REF!</v>
      </c>
      <c r="F25" s="106" t="e">
        <f t="shared" si="6"/>
        <v>#REF!</v>
      </c>
      <c r="G25" s="106" t="e">
        <f>IF(C25&gt;0,F25*C25,0)</f>
        <v>#REF!</v>
      </c>
      <c r="H25" s="104" t="e">
        <f>IF(C25&gt;0,ROUND(C25*E25,2),0)</f>
        <v>#REF!</v>
      </c>
      <c r="I25" s="104" t="e">
        <f>IF(C25&gt;0,ROUND(H25*12,2),0)</f>
        <v>#REF!</v>
      </c>
      <c r="K25" s="104"/>
    </row>
    <row r="26" spans="1:14" s="100" customFormat="1" ht="15.75" hidden="1" x14ac:dyDescent="0.2">
      <c r="A26" s="107"/>
      <c r="B26" s="108" t="s">
        <v>90</v>
      </c>
      <c r="C26" s="109">
        <f>SUM(C24:C25)</f>
        <v>112</v>
      </c>
      <c r="D26" s="110" t="e">
        <f>ROUND(SUMPRODUCT(C24:C25,D24:D25),2)</f>
        <v>#REF!</v>
      </c>
      <c r="E26" s="110" t="e">
        <f>ROUND(SUMPRODUCT(C24:C25,E24:E25),2)</f>
        <v>#REF!</v>
      </c>
      <c r="F26" s="111" t="e">
        <f>ROUND(E26/D26,7)</f>
        <v>#REF!</v>
      </c>
      <c r="G26" s="111" t="e">
        <f>ROUND(SUM(G24:G25)/C26,7)</f>
        <v>#REF!</v>
      </c>
      <c r="H26" s="110" t="e">
        <f>ROUND(SUM(H24:H25),2)</f>
        <v>#REF!</v>
      </c>
      <c r="I26" s="112"/>
      <c r="K26" s="112"/>
    </row>
    <row r="27" spans="1:14" s="100" customFormat="1" ht="15.75" hidden="1" x14ac:dyDescent="0.2">
      <c r="A27" s="107"/>
      <c r="B27" s="108" t="s">
        <v>91</v>
      </c>
      <c r="C27" s="112"/>
      <c r="D27" s="110" t="e">
        <f>ROUND(D26*12,2)</f>
        <v>#REF!</v>
      </c>
      <c r="E27" s="110" t="e">
        <f>ROUND(E26*12,2)</f>
        <v>#REF!</v>
      </c>
      <c r="F27" s="111" t="e">
        <f>ROUND(E27/D27,7)</f>
        <v>#REF!</v>
      </c>
      <c r="G27" s="112"/>
      <c r="H27" s="110" t="e">
        <f>ROUND(H26*12,2)</f>
        <v>#REF!</v>
      </c>
      <c r="I27" s="110" t="e">
        <f>ROUND(SUM(I24:I25),2)</f>
        <v>#REF!</v>
      </c>
      <c r="K27" s="110"/>
    </row>
    <row r="28" spans="1:14" hidden="1" x14ac:dyDescent="0.2"/>
    <row r="29" spans="1:14" ht="27.75" hidden="1" customHeight="1" x14ac:dyDescent="0.2">
      <c r="A29" s="305" t="s">
        <v>102</v>
      </c>
      <c r="B29" s="305"/>
      <c r="C29" s="305"/>
      <c r="D29" s="305"/>
      <c r="E29" s="305"/>
      <c r="F29" s="305"/>
      <c r="G29" s="305"/>
      <c r="H29" s="305"/>
      <c r="I29" s="305"/>
    </row>
    <row r="30" spans="1:14" ht="14.25" hidden="1" customHeight="1" x14ac:dyDescent="0.2">
      <c r="A30" s="303"/>
      <c r="B30" s="303"/>
      <c r="C30" s="303"/>
      <c r="D30" s="303"/>
      <c r="E30" s="303"/>
      <c r="F30" s="303"/>
      <c r="G30" s="303"/>
      <c r="H30" s="303"/>
      <c r="I30" s="303"/>
    </row>
    <row r="31" spans="1:14" ht="45" hidden="1" x14ac:dyDescent="0.2">
      <c r="A31" s="101" t="s">
        <v>92</v>
      </c>
      <c r="B31" s="101" t="s">
        <v>103</v>
      </c>
      <c r="C31" s="101" t="s">
        <v>89</v>
      </c>
      <c r="D31" s="101" t="s">
        <v>101</v>
      </c>
      <c r="E31" s="101" t="s">
        <v>95</v>
      </c>
      <c r="F31" s="101" t="s">
        <v>96</v>
      </c>
      <c r="G31" s="101" t="s">
        <v>97</v>
      </c>
      <c r="H31" s="101" t="s">
        <v>98</v>
      </c>
      <c r="I31" s="101" t="s">
        <v>99</v>
      </c>
      <c r="K31" s="101"/>
    </row>
    <row r="32" spans="1:14" ht="15.75" hidden="1" x14ac:dyDescent="0.2">
      <c r="A32" s="115">
        <v>13</v>
      </c>
      <c r="B32" s="116" t="e">
        <f>#REF!</f>
        <v>#REF!</v>
      </c>
      <c r="C32" s="117">
        <v>15</v>
      </c>
      <c r="D32" s="118" t="e">
        <f>#REF!</f>
        <v>#REF!</v>
      </c>
      <c r="E32" s="119" t="e">
        <f>#REF!</f>
        <v>#REF!</v>
      </c>
      <c r="F32" s="120" t="e">
        <f t="shared" ref="F32" si="8">IF(C32&gt;0,E32/D32,0)</f>
        <v>#REF!</v>
      </c>
      <c r="G32" s="120" t="e">
        <f>IF(C32&gt;0,F32*C32,0)</f>
        <v>#REF!</v>
      </c>
      <c r="H32" s="118" t="e">
        <f>IF(C32&gt;0,ROUND(C32*E32,2),0)</f>
        <v>#REF!</v>
      </c>
      <c r="I32" s="118" t="e">
        <f>IF(C32&gt;0,ROUND(H32*12,2),0)</f>
        <v>#REF!</v>
      </c>
      <c r="K32" s="118"/>
    </row>
    <row r="33" spans="1:11" s="100" customFormat="1" ht="15.75" hidden="1" x14ac:dyDescent="0.2">
      <c r="A33" s="107"/>
      <c r="B33" s="108" t="s">
        <v>90</v>
      </c>
      <c r="C33" s="109">
        <v>15</v>
      </c>
      <c r="D33" s="110" t="e">
        <f>ROUND(SUMPRODUCT(C32,D32),2)</f>
        <v>#REF!</v>
      </c>
      <c r="E33" s="110" t="e">
        <f>ROUND(SUMPRODUCT(C32,E32),2)</f>
        <v>#REF!</v>
      </c>
      <c r="F33" s="111" t="e">
        <f>ROUND(E33/D33,7)</f>
        <v>#REF!</v>
      </c>
      <c r="G33" s="111" t="e">
        <f>ROUND(SUM(G32)/C33,7)</f>
        <v>#REF!</v>
      </c>
      <c r="H33" s="110" t="e">
        <f>ROUND(SUM(H32),2)</f>
        <v>#REF!</v>
      </c>
      <c r="I33" s="112"/>
      <c r="K33" s="112"/>
    </row>
    <row r="34" spans="1:11" s="100" customFormat="1" ht="15.75" hidden="1" x14ac:dyDescent="0.2">
      <c r="A34" s="107"/>
      <c r="B34" s="108" t="s">
        <v>91</v>
      </c>
      <c r="C34" s="112"/>
      <c r="D34" s="110" t="e">
        <f>ROUND(D33*12,2)</f>
        <v>#REF!</v>
      </c>
      <c r="E34" s="110" t="e">
        <f>ROUND(E33*12,2)</f>
        <v>#REF!</v>
      </c>
      <c r="F34" s="111" t="e">
        <f>ROUND(E34/D34,7)</f>
        <v>#REF!</v>
      </c>
      <c r="G34" s="112"/>
      <c r="H34" s="110" t="e">
        <f>ROUND(H33*12,2)</f>
        <v>#REF!</v>
      </c>
      <c r="I34" s="110" t="e">
        <f>ROUND(SUM(I32),)</f>
        <v>#REF!</v>
      </c>
      <c r="K34" s="110"/>
    </row>
    <row r="35" spans="1:11" hidden="1" x14ac:dyDescent="0.2"/>
    <row r="36" spans="1:11" ht="18.75" hidden="1" x14ac:dyDescent="0.2">
      <c r="B36" s="121" t="s">
        <v>104</v>
      </c>
      <c r="C36" s="122">
        <f>C19+C26+C33</f>
        <v>201</v>
      </c>
      <c r="D36" s="123" t="e">
        <f>ROUND(SUM(D19,D26,D33),2)</f>
        <v>#REF!</v>
      </c>
      <c r="E36" s="123" t="e">
        <f>ROUND(SUM(E19,E26,E33),2)</f>
        <v>#REF!</v>
      </c>
      <c r="F36" s="124" t="e">
        <f>ROUND(E36/D36,7)</f>
        <v>#REF!</v>
      </c>
      <c r="G36" s="124" t="e">
        <f>ROUND(SUM(G5:G5,G24:G25,G32)/C36,7)</f>
        <v>#REF!</v>
      </c>
      <c r="H36" s="123" t="e">
        <f>ROUND(SUM(H19,H26,H33),2)</f>
        <v>#REF!</v>
      </c>
      <c r="I36" s="112"/>
      <c r="K36" s="112"/>
    </row>
    <row r="37" spans="1:11" ht="18.75" hidden="1" x14ac:dyDescent="0.2">
      <c r="B37" s="121" t="s">
        <v>105</v>
      </c>
      <c r="C37" s="112"/>
      <c r="D37" s="123" t="e">
        <f>ROUND(D36*12,2)</f>
        <v>#REF!</v>
      </c>
      <c r="E37" s="123" t="e">
        <f>ROUND(E36*12,2)</f>
        <v>#REF!</v>
      </c>
      <c r="F37" s="124" t="e">
        <f>ROUND(E37/D37,7)</f>
        <v>#REF!</v>
      </c>
      <c r="G37" s="112"/>
      <c r="H37" s="123" t="e">
        <f>ROUND(H36*12,2)</f>
        <v>#REF!</v>
      </c>
      <c r="I37" s="123" t="e">
        <f>ROUND(SUM(I5:I5,I24:I25,I32),2)</f>
        <v>#REF!</v>
      </c>
      <c r="K37" s="123"/>
    </row>
    <row r="38" spans="1:11" hidden="1" x14ac:dyDescent="0.2"/>
    <row r="39" spans="1:11" x14ac:dyDescent="0.2">
      <c r="I39" s="125"/>
      <c r="K39" s="125"/>
    </row>
    <row r="40" spans="1:11" x14ac:dyDescent="0.2">
      <c r="I40" s="149"/>
      <c r="K40" s="149"/>
    </row>
    <row r="41" spans="1:11" x14ac:dyDescent="0.2">
      <c r="D41" s="126"/>
      <c r="E41" s="126"/>
      <c r="I41" s="149"/>
      <c r="K41" s="149"/>
    </row>
    <row r="42" spans="1:11" x14ac:dyDescent="0.2">
      <c r="D42" s="126"/>
      <c r="E42" s="126"/>
    </row>
    <row r="47" spans="1:11" x14ac:dyDescent="0.2">
      <c r="D47" s="126"/>
    </row>
    <row r="48" spans="1:11" x14ac:dyDescent="0.2">
      <c r="D48" s="126"/>
    </row>
  </sheetData>
  <mergeCells count="5">
    <mergeCell ref="A30:I30"/>
    <mergeCell ref="A3:I3"/>
    <mergeCell ref="A21:I21"/>
    <mergeCell ref="A22:I22"/>
    <mergeCell ref="A29:I29"/>
  </mergeCells>
  <printOptions horizontalCentered="1" verticalCentered="1"/>
  <pageMargins left="0.35433070866141736" right="0.15748031496062992" top="0.59055118110236227" bottom="0.39370078740157483" header="0.31496062992125984" footer="0.31496062992125984"/>
  <pageSetup paperSize="9" scale="7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C5:U21"/>
  <sheetViews>
    <sheetView showGridLines="0" workbookViewId="0">
      <selection activeCell="B5" sqref="B5"/>
    </sheetView>
  </sheetViews>
  <sheetFormatPr defaultRowHeight="12.75" x14ac:dyDescent="0.2"/>
  <cols>
    <col min="8" max="9" width="15.28515625" bestFit="1" customWidth="1"/>
    <col min="10" max="10" width="14" bestFit="1" customWidth="1"/>
    <col min="12" max="17" width="13.28515625" customWidth="1"/>
    <col min="18" max="18" width="14" bestFit="1" customWidth="1"/>
    <col min="20" max="20" width="12.85546875" bestFit="1" customWidth="1"/>
    <col min="21" max="21" width="14" bestFit="1" customWidth="1"/>
  </cols>
  <sheetData>
    <row r="5" spans="3:21" x14ac:dyDescent="0.2">
      <c r="C5" s="233" t="s">
        <v>272</v>
      </c>
      <c r="D5" s="233"/>
      <c r="E5" s="233"/>
      <c r="F5" s="233"/>
      <c r="G5" s="233"/>
      <c r="H5" s="233"/>
      <c r="I5" s="233"/>
      <c r="J5" s="233"/>
      <c r="O5" s="233" t="s">
        <v>286</v>
      </c>
      <c r="P5" s="233"/>
      <c r="Q5" s="233"/>
      <c r="R5" s="233"/>
      <c r="S5" s="233"/>
      <c r="T5" s="233"/>
      <c r="U5" s="233"/>
    </row>
    <row r="6" spans="3:21" ht="25.5" x14ac:dyDescent="0.2">
      <c r="C6" s="234" t="s">
        <v>273</v>
      </c>
      <c r="D6" s="235" t="s">
        <v>274</v>
      </c>
      <c r="E6" s="235"/>
      <c r="F6" s="235"/>
      <c r="G6" s="235"/>
      <c r="H6" s="236" t="s">
        <v>289</v>
      </c>
      <c r="I6" s="236" t="s">
        <v>276</v>
      </c>
      <c r="J6" s="236" t="s">
        <v>275</v>
      </c>
      <c r="O6" s="234" t="s">
        <v>273</v>
      </c>
      <c r="P6" s="235" t="s">
        <v>274</v>
      </c>
      <c r="Q6" s="235"/>
      <c r="R6" s="235"/>
      <c r="S6" s="235"/>
      <c r="T6" s="236" t="s">
        <v>276</v>
      </c>
      <c r="U6" s="236" t="s">
        <v>275</v>
      </c>
    </row>
    <row r="7" spans="3:21" x14ac:dyDescent="0.2">
      <c r="C7" s="254">
        <v>1</v>
      </c>
      <c r="D7" s="255" t="s">
        <v>277</v>
      </c>
      <c r="E7" s="256"/>
      <c r="F7" s="256"/>
      <c r="G7" s="257"/>
      <c r="H7" s="258">
        <f>+Resumo!H19</f>
        <v>440986.56</v>
      </c>
      <c r="I7" s="258">
        <f>+'COMPARATIVO CT20140042'!I21</f>
        <v>5291838.7200000007</v>
      </c>
      <c r="J7" s="259">
        <f>+I7*3</f>
        <v>15875516.160000002</v>
      </c>
      <c r="L7" s="261"/>
      <c r="O7" s="238">
        <v>1</v>
      </c>
      <c r="P7" s="239" t="s">
        <v>277</v>
      </c>
      <c r="Q7" s="240"/>
      <c r="R7" s="240"/>
      <c r="S7" s="241"/>
      <c r="T7" s="245">
        <v>2805075.4799999995</v>
      </c>
      <c r="U7" s="246">
        <f t="shared" ref="U7:U11" si="0">+T7*3</f>
        <v>8415226.4399999976</v>
      </c>
    </row>
    <row r="8" spans="3:21" x14ac:dyDescent="0.2">
      <c r="C8" s="238">
        <v>2</v>
      </c>
      <c r="D8" s="239" t="s">
        <v>278</v>
      </c>
      <c r="E8" s="240"/>
      <c r="F8" s="240"/>
      <c r="G8" s="241"/>
      <c r="H8" s="249">
        <f t="shared" ref="H8:H12" si="1">+I8/12</f>
        <v>8769.9499999999989</v>
      </c>
      <c r="I8" s="249">
        <v>105239.4</v>
      </c>
      <c r="J8" s="246">
        <f>+I8*3</f>
        <v>315718.19999999995</v>
      </c>
      <c r="O8" s="238">
        <v>2</v>
      </c>
      <c r="P8" s="239" t="s">
        <v>278</v>
      </c>
      <c r="Q8" s="240"/>
      <c r="R8" s="240"/>
      <c r="S8" s="241"/>
      <c r="T8" s="249">
        <v>1203082.9200000002</v>
      </c>
      <c r="U8" s="246">
        <f t="shared" si="0"/>
        <v>3609248.7600000007</v>
      </c>
    </row>
    <row r="9" spans="3:21" x14ac:dyDescent="0.2">
      <c r="C9" s="238">
        <v>3</v>
      </c>
      <c r="D9" s="239" t="s">
        <v>279</v>
      </c>
      <c r="E9" s="240"/>
      <c r="F9" s="240"/>
      <c r="G9" s="241"/>
      <c r="H9" s="249">
        <f t="shared" si="1"/>
        <v>6580.8908333333338</v>
      </c>
      <c r="I9" s="249">
        <v>78970.69</v>
      </c>
      <c r="J9" s="249">
        <f>+I9*3</f>
        <v>236912.07</v>
      </c>
      <c r="O9" s="238">
        <v>3</v>
      </c>
      <c r="P9" s="239" t="s">
        <v>279</v>
      </c>
      <c r="Q9" s="240"/>
      <c r="R9" s="240"/>
      <c r="S9" s="241"/>
      <c r="T9" s="249">
        <v>14612.28</v>
      </c>
      <c r="U9" s="249">
        <f t="shared" si="0"/>
        <v>43836.840000000004</v>
      </c>
    </row>
    <row r="10" spans="3:21" x14ac:dyDescent="0.2">
      <c r="C10" s="238">
        <v>4</v>
      </c>
      <c r="D10" s="239" t="s">
        <v>280</v>
      </c>
      <c r="E10" s="240"/>
      <c r="F10" s="240"/>
      <c r="G10" s="241"/>
      <c r="H10" s="249">
        <f t="shared" si="1"/>
        <v>47.75</v>
      </c>
      <c r="I10" s="249">
        <v>573</v>
      </c>
      <c r="J10" s="249">
        <f>+I10*3</f>
        <v>1719</v>
      </c>
      <c r="O10" s="238">
        <v>4</v>
      </c>
      <c r="P10" s="239" t="s">
        <v>287</v>
      </c>
      <c r="Q10" s="240"/>
      <c r="R10" s="240"/>
      <c r="S10" s="241"/>
      <c r="T10" s="249">
        <v>133802.94150000002</v>
      </c>
      <c r="U10" s="249">
        <f t="shared" si="0"/>
        <v>401408.82450000005</v>
      </c>
    </row>
    <row r="11" spans="3:21" x14ac:dyDescent="0.2">
      <c r="C11" s="238">
        <v>5</v>
      </c>
      <c r="D11" s="239" t="s">
        <v>281</v>
      </c>
      <c r="E11" s="240"/>
      <c r="F11" s="240"/>
      <c r="G11" s="241"/>
      <c r="H11" s="249">
        <f t="shared" si="1"/>
        <v>34001.56527777778</v>
      </c>
      <c r="I11" s="249">
        <f>+J11/3</f>
        <v>408018.78333333338</v>
      </c>
      <c r="J11" s="246">
        <v>1224056.3500000001</v>
      </c>
      <c r="O11" s="238">
        <v>5</v>
      </c>
      <c r="P11" s="239" t="s">
        <v>281</v>
      </c>
      <c r="Q11" s="240"/>
      <c r="R11" s="240"/>
      <c r="S11" s="241"/>
      <c r="T11" s="249">
        <v>294602.99400000018</v>
      </c>
      <c r="U11" s="246">
        <f t="shared" si="0"/>
        <v>883808.98200000054</v>
      </c>
    </row>
    <row r="12" spans="3:21" x14ac:dyDescent="0.2">
      <c r="C12" s="238">
        <v>6</v>
      </c>
      <c r="D12" s="239" t="s">
        <v>282</v>
      </c>
      <c r="E12" s="240"/>
      <c r="F12" s="240"/>
      <c r="G12" s="241"/>
      <c r="H12" s="247">
        <f t="shared" si="1"/>
        <v>7820.96</v>
      </c>
      <c r="I12" s="247">
        <v>93851.520000000004</v>
      </c>
      <c r="J12" s="248">
        <f>+I12*3</f>
        <v>281554.56</v>
      </c>
      <c r="L12" s="260"/>
      <c r="O12" s="242" t="s">
        <v>283</v>
      </c>
      <c r="P12" s="243"/>
      <c r="Q12" s="243"/>
      <c r="R12" s="243"/>
      <c r="S12" s="244"/>
      <c r="T12" s="247">
        <f>+SUM(T7:T11)</f>
        <v>4451176.6154999994</v>
      </c>
      <c r="U12" s="247">
        <f>+SUM(U7:U11)</f>
        <v>13353529.8465</v>
      </c>
    </row>
    <row r="13" spans="3:21" x14ac:dyDescent="0.2">
      <c r="C13" s="242" t="s">
        <v>283</v>
      </c>
      <c r="D13" s="243"/>
      <c r="E13" s="243"/>
      <c r="F13" s="243"/>
      <c r="G13" s="244"/>
      <c r="H13" s="247">
        <f t="shared" ref="H13:I13" si="2">+SUM(H7:H12)</f>
        <v>498207.67611111113</v>
      </c>
      <c r="I13" s="247">
        <f t="shared" si="2"/>
        <v>5978492.1133333342</v>
      </c>
      <c r="J13" s="247">
        <f>+SUM(J7:J12)</f>
        <v>17935476.34</v>
      </c>
    </row>
    <row r="14" spans="3:21" x14ac:dyDescent="0.2">
      <c r="C14" s="252"/>
      <c r="D14" s="252"/>
      <c r="E14" s="252"/>
      <c r="F14" s="252"/>
      <c r="G14" s="252"/>
      <c r="H14" s="253"/>
      <c r="I14" s="253"/>
      <c r="J14" s="253"/>
    </row>
    <row r="15" spans="3:21" x14ac:dyDescent="0.2">
      <c r="C15" s="252"/>
      <c r="D15" s="252"/>
      <c r="E15" s="252"/>
      <c r="F15" s="252"/>
      <c r="G15" s="252"/>
      <c r="H15" s="253"/>
      <c r="I15" s="253"/>
      <c r="J15" s="253"/>
    </row>
    <row r="16" spans="3:21" x14ac:dyDescent="0.2">
      <c r="C16" s="252"/>
      <c r="D16" s="252"/>
      <c r="E16" s="252"/>
      <c r="F16" s="252"/>
      <c r="G16" s="252"/>
      <c r="H16" s="253"/>
      <c r="I16" s="253"/>
      <c r="J16" s="253"/>
    </row>
    <row r="17" spans="3:10" x14ac:dyDescent="0.2">
      <c r="C17" s="252"/>
      <c r="D17" s="252"/>
      <c r="E17" s="252"/>
      <c r="F17" s="252"/>
      <c r="G17" s="252"/>
      <c r="H17" s="253"/>
      <c r="I17" s="253"/>
      <c r="J17" s="253"/>
    </row>
    <row r="19" spans="3:10" x14ac:dyDescent="0.2">
      <c r="C19" s="238">
        <v>7</v>
      </c>
      <c r="D19" s="239" t="s">
        <v>284</v>
      </c>
      <c r="E19" s="240"/>
      <c r="F19" s="240"/>
      <c r="G19" s="241"/>
      <c r="H19" s="247"/>
      <c r="I19" s="247">
        <f>+J19/3</f>
        <v>59709.760000000002</v>
      </c>
      <c r="J19" s="247">
        <f>+[1]Orçamentária!$Q$604</f>
        <v>179129.28</v>
      </c>
    </row>
    <row r="20" spans="3:10" x14ac:dyDescent="0.2">
      <c r="C20" s="237" t="s">
        <v>285</v>
      </c>
      <c r="D20" s="237"/>
    </row>
    <row r="21" spans="3:10" x14ac:dyDescent="0.2">
      <c r="C21" s="237"/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L67"/>
  <sheetViews>
    <sheetView topLeftCell="C52" zoomScale="98" zoomScaleNormal="98" zoomScaleSheetLayoutView="115" workbookViewId="0">
      <selection activeCell="N49" sqref="N49"/>
    </sheetView>
  </sheetViews>
  <sheetFormatPr defaultColWidth="11.42578125" defaultRowHeight="12.75" x14ac:dyDescent="0.2"/>
  <cols>
    <col min="1" max="1" width="7.7109375" style="113" customWidth="1"/>
    <col min="2" max="2" width="43.42578125" style="113" bestFit="1" customWidth="1"/>
    <col min="3" max="3" width="14.28515625" style="113" customWidth="1"/>
    <col min="4" max="4" width="31.28515625" style="113" customWidth="1"/>
    <col min="5" max="5" width="22.85546875" style="113" customWidth="1"/>
    <col min="6" max="6" width="14" style="113" customWidth="1"/>
    <col min="7" max="7" width="15.7109375" style="114" customWidth="1"/>
    <col min="8" max="8" width="20.5703125" style="113" bestFit="1" customWidth="1"/>
    <col min="9" max="9" width="20.42578125" style="113" bestFit="1" customWidth="1"/>
    <col min="10" max="10" width="4.85546875" style="113" customWidth="1"/>
    <col min="11" max="11" width="20.42578125" style="113" bestFit="1" customWidth="1"/>
    <col min="12" max="12" width="33.5703125" style="113" hidden="1" customWidth="1"/>
    <col min="13" max="13" width="12.28515625" style="113" bestFit="1" customWidth="1"/>
    <col min="14" max="14" width="13" style="113" bestFit="1" customWidth="1"/>
    <col min="15" max="15" width="12.28515625" style="113" bestFit="1" customWidth="1"/>
    <col min="16" max="16" width="23.28515625" style="113" bestFit="1" customWidth="1"/>
    <col min="17" max="16384" width="11.42578125" style="113"/>
  </cols>
  <sheetData>
    <row r="1" spans="1:12" s="96" customFormat="1" ht="18" x14ac:dyDescent="0.2">
      <c r="A1" s="143"/>
      <c r="B1" s="97"/>
      <c r="C1" s="97"/>
      <c r="F1" s="1"/>
      <c r="G1" s="98"/>
      <c r="H1" s="99"/>
    </row>
    <row r="2" spans="1:12" s="100" customFormat="1" ht="27.75" customHeight="1" x14ac:dyDescent="0.2">
      <c r="A2" s="306" t="s">
        <v>270</v>
      </c>
      <c r="B2" s="307"/>
      <c r="C2" s="307"/>
      <c r="D2" s="307"/>
      <c r="E2" s="307"/>
      <c r="F2" s="307"/>
      <c r="G2" s="307"/>
      <c r="H2" s="307"/>
      <c r="I2" s="308"/>
    </row>
    <row r="3" spans="1:12" s="100" customFormat="1" ht="14.25" customHeight="1" x14ac:dyDescent="0.2">
      <c r="A3" s="304"/>
      <c r="B3" s="304"/>
      <c r="C3" s="304"/>
      <c r="D3" s="304"/>
      <c r="E3" s="304"/>
      <c r="F3" s="304"/>
      <c r="G3" s="304"/>
      <c r="H3" s="304"/>
      <c r="I3" s="304"/>
    </row>
    <row r="4" spans="1:12" s="100" customFormat="1" ht="27.75" customHeight="1" x14ac:dyDescent="0.2">
      <c r="A4" s="306" t="s">
        <v>106</v>
      </c>
      <c r="B4" s="307"/>
      <c r="C4" s="307"/>
      <c r="D4" s="307"/>
      <c r="E4" s="307"/>
      <c r="F4" s="307"/>
      <c r="G4" s="307"/>
      <c r="H4" s="307"/>
      <c r="I4" s="308"/>
    </row>
    <row r="5" spans="1:12" s="100" customFormat="1" ht="45" x14ac:dyDescent="0.2">
      <c r="A5" s="101" t="s">
        <v>92</v>
      </c>
      <c r="B5" s="101" t="s">
        <v>93</v>
      </c>
      <c r="C5" s="101" t="s">
        <v>89</v>
      </c>
      <c r="D5" s="101" t="s">
        <v>94</v>
      </c>
      <c r="E5" s="101" t="s">
        <v>95</v>
      </c>
      <c r="F5" s="101" t="s">
        <v>96</v>
      </c>
      <c r="G5" s="101" t="s">
        <v>97</v>
      </c>
      <c r="H5" s="101" t="s">
        <v>98</v>
      </c>
      <c r="I5" s="101" t="s">
        <v>99</v>
      </c>
      <c r="K5" s="101" t="s">
        <v>288</v>
      </c>
    </row>
    <row r="6" spans="1:12" s="100" customFormat="1" ht="30" x14ac:dyDescent="0.2">
      <c r="A6" s="102">
        <v>1</v>
      </c>
      <c r="B6" s="95" t="str">
        <f>+Resumo!B5</f>
        <v xml:space="preserve">SUPERVISOR TÉCNICO AR-CONDICIONADO - 40 hrs </v>
      </c>
      <c r="C6" s="103">
        <f>+Resumo!C5</f>
        <v>1</v>
      </c>
      <c r="D6" s="104">
        <f>+Resumo!D5</f>
        <v>10353.85</v>
      </c>
      <c r="E6" s="105">
        <f>+Resumo!E5</f>
        <v>19686.88</v>
      </c>
      <c r="F6" s="106">
        <f>+Resumo!F5</f>
        <v>1.9014067231030003</v>
      </c>
      <c r="G6" s="106">
        <f>+Resumo!G5</f>
        <v>1.9014067231030003</v>
      </c>
      <c r="H6" s="104">
        <f>+Resumo!H5</f>
        <v>19686.88</v>
      </c>
      <c r="I6" s="104">
        <f t="shared" ref="I6:I19" si="0">IF(C6&gt;0,ROUND(H6*12,2),0)</f>
        <v>236242.56</v>
      </c>
      <c r="K6" s="104">
        <f t="shared" ref="K6:K21" si="1">+I6*3</f>
        <v>708727.67999999993</v>
      </c>
      <c r="L6" s="93">
        <f t="shared" ref="L6:L12" si="2">D6/D44-1</f>
        <v>0.27290844245335322</v>
      </c>
    </row>
    <row r="7" spans="1:12" s="100" customFormat="1" ht="30" x14ac:dyDescent="0.2">
      <c r="A7" s="102">
        <f t="shared" ref="A7:A19" si="3">+A6+1</f>
        <v>2</v>
      </c>
      <c r="B7" s="95" t="str">
        <f>+Resumo!B6</f>
        <v>SUPERVISOR TÉCNICO COMANDO E AUTOMAÇÃO - 40 hrs</v>
      </c>
      <c r="C7" s="103">
        <f>+Resumo!C6</f>
        <v>1</v>
      </c>
      <c r="D7" s="104">
        <f>+Resumo!D6</f>
        <v>10353.85</v>
      </c>
      <c r="E7" s="105">
        <f>+Resumo!E6</f>
        <v>19686.88</v>
      </c>
      <c r="F7" s="106">
        <f>+Resumo!F6</f>
        <v>1.9014067231030003</v>
      </c>
      <c r="G7" s="106">
        <f>+Resumo!G6</f>
        <v>1.9014067231030003</v>
      </c>
      <c r="H7" s="104">
        <f>+Resumo!H6</f>
        <v>19686.88</v>
      </c>
      <c r="I7" s="104">
        <f t="shared" si="0"/>
        <v>236242.56</v>
      </c>
      <c r="K7" s="104">
        <f t="shared" si="1"/>
        <v>708727.67999999993</v>
      </c>
      <c r="L7" s="93">
        <f t="shared" si="2"/>
        <v>0.27290844245335322</v>
      </c>
    </row>
    <row r="8" spans="1:12" s="100" customFormat="1" ht="15.75" x14ac:dyDescent="0.2">
      <c r="A8" s="102">
        <f t="shared" si="3"/>
        <v>3</v>
      </c>
      <c r="B8" s="95" t="str">
        <f>+Resumo!B7</f>
        <v>ENCARREGADO - 44 hrs</v>
      </c>
      <c r="C8" s="103">
        <f>+Resumo!C7</f>
        <v>4</v>
      </c>
      <c r="D8" s="104">
        <f>+Resumo!D7</f>
        <v>3838.52</v>
      </c>
      <c r="E8" s="105">
        <f>+Resumo!E7</f>
        <v>8011.84</v>
      </c>
      <c r="F8" s="106">
        <f>+Resumo!F7</f>
        <v>2.0872211164719738</v>
      </c>
      <c r="G8" s="106">
        <f>+Resumo!G7</f>
        <v>8.3488844658878953</v>
      </c>
      <c r="H8" s="104">
        <f>+Resumo!H7</f>
        <v>32047.360000000001</v>
      </c>
      <c r="I8" s="104">
        <f t="shared" si="0"/>
        <v>384568.32000000001</v>
      </c>
      <c r="K8" s="104">
        <f t="shared" si="1"/>
        <v>1153704.96</v>
      </c>
      <c r="L8" s="93">
        <f t="shared" si="2"/>
        <v>0.47538349777646238</v>
      </c>
    </row>
    <row r="9" spans="1:12" s="100" customFormat="1" ht="30" x14ac:dyDescent="0.2">
      <c r="A9" s="102">
        <f t="shared" si="3"/>
        <v>4</v>
      </c>
      <c r="B9" s="95" t="str">
        <f>+Resumo!B8</f>
        <v>TÉCNICO ELETROMECÂNICO / AR-CONDICIONADO - 44 hras</v>
      </c>
      <c r="C9" s="103">
        <f>+Resumo!C8</f>
        <v>6</v>
      </c>
      <c r="D9" s="104">
        <f>+Resumo!D8</f>
        <v>3044.8</v>
      </c>
      <c r="E9" s="105">
        <f>+Resumo!E8</f>
        <v>6607.9</v>
      </c>
      <c r="F9" s="106">
        <f>+Resumo!F8</f>
        <v>2.1702246452968992</v>
      </c>
      <c r="G9" s="106">
        <f>+Resumo!G8</f>
        <v>13.021347871781394</v>
      </c>
      <c r="H9" s="104">
        <f>+Resumo!H8</f>
        <v>39647.4</v>
      </c>
      <c r="I9" s="104">
        <f t="shared" si="0"/>
        <v>475768.8</v>
      </c>
      <c r="K9" s="104">
        <f t="shared" si="1"/>
        <v>1427306.4</v>
      </c>
      <c r="L9" s="93">
        <f t="shared" si="2"/>
        <v>0.49035731767009305</v>
      </c>
    </row>
    <row r="10" spans="1:12" s="100" customFormat="1" ht="30" x14ac:dyDescent="0.2">
      <c r="A10" s="102">
        <f t="shared" si="3"/>
        <v>5</v>
      </c>
      <c r="B10" s="95" t="str">
        <f>+Resumo!B9</f>
        <v>TÉCNICO EM COMANDO ELÉTRICO / AUTOMAÇÃO - 44hrs</v>
      </c>
      <c r="C10" s="103">
        <f>+Resumo!C9</f>
        <v>6</v>
      </c>
      <c r="D10" s="104">
        <f>+Resumo!D9</f>
        <v>3044.8</v>
      </c>
      <c r="E10" s="105">
        <f>+Resumo!E9</f>
        <v>6607.9</v>
      </c>
      <c r="F10" s="106">
        <f>+Resumo!F9</f>
        <v>2.1702246452968992</v>
      </c>
      <c r="G10" s="106">
        <f>+Resumo!G9</f>
        <v>13.021347871781394</v>
      </c>
      <c r="H10" s="104">
        <f>+Resumo!H9</f>
        <v>39647.4</v>
      </c>
      <c r="I10" s="104">
        <f t="shared" si="0"/>
        <v>475768.8</v>
      </c>
      <c r="K10" s="104">
        <f t="shared" si="1"/>
        <v>1427306.4</v>
      </c>
      <c r="L10" s="93">
        <f t="shared" si="2"/>
        <v>0.49035731767009305</v>
      </c>
    </row>
    <row r="11" spans="1:12" s="100" customFormat="1" ht="30" x14ac:dyDescent="0.2">
      <c r="A11" s="102">
        <f t="shared" si="3"/>
        <v>6</v>
      </c>
      <c r="B11" s="95" t="str">
        <f>+Resumo!B10</f>
        <v>ELETROMECÂNICO DE AR-CONDICIONADO - 44hrs</v>
      </c>
      <c r="C11" s="103">
        <f>+Resumo!C10</f>
        <v>22</v>
      </c>
      <c r="D11" s="104">
        <f>+Resumo!D10</f>
        <v>3044.8</v>
      </c>
      <c r="E11" s="105">
        <f>+Resumo!E10</f>
        <v>6607.9</v>
      </c>
      <c r="F11" s="106">
        <f>+Resumo!F10</f>
        <v>2.1702246452968992</v>
      </c>
      <c r="G11" s="106">
        <f>+Resumo!G10</f>
        <v>47.744942196531781</v>
      </c>
      <c r="H11" s="104">
        <f>+Resumo!H10</f>
        <v>145373.79999999999</v>
      </c>
      <c r="I11" s="104">
        <f t="shared" si="0"/>
        <v>1744485.6</v>
      </c>
      <c r="K11" s="104">
        <f t="shared" si="1"/>
        <v>5233456.8000000007</v>
      </c>
      <c r="L11" s="93">
        <f t="shared" si="2"/>
        <v>0.49035731767009305</v>
      </c>
    </row>
    <row r="12" spans="1:12" s="100" customFormat="1" ht="15.75" x14ac:dyDescent="0.2">
      <c r="A12" s="102">
        <f t="shared" si="3"/>
        <v>7</v>
      </c>
      <c r="B12" s="95" t="str">
        <f>+Resumo!B11</f>
        <v>AUXILIAR DE MANUTENÇÃO - 44hrs</v>
      </c>
      <c r="C12" s="103">
        <f>+Resumo!C11</f>
        <v>23</v>
      </c>
      <c r="D12" s="104">
        <f>+Resumo!D11</f>
        <v>1502.92</v>
      </c>
      <c r="E12" s="105">
        <f>+Resumo!E11</f>
        <v>3880.7</v>
      </c>
      <c r="F12" s="106">
        <f>+Resumo!F11</f>
        <v>2.5821068320336411</v>
      </c>
      <c r="G12" s="106">
        <f>+Resumo!G11</f>
        <v>59.388457136773745</v>
      </c>
      <c r="H12" s="104">
        <f>+Resumo!H11</f>
        <v>89256.1</v>
      </c>
      <c r="I12" s="104">
        <f t="shared" si="0"/>
        <v>1071073.2</v>
      </c>
      <c r="K12" s="104">
        <f t="shared" si="1"/>
        <v>3213219.5999999996</v>
      </c>
      <c r="L12" s="93">
        <f t="shared" si="2"/>
        <v>-0.26435633871757214</v>
      </c>
    </row>
    <row r="13" spans="1:12" s="100" customFormat="1" ht="15.75" x14ac:dyDescent="0.2">
      <c r="A13" s="102">
        <f t="shared" si="3"/>
        <v>8</v>
      </c>
      <c r="B13" s="95" t="str">
        <f>+Resumo!B12</f>
        <v>AUXILIAR ADMINISTRATIVO - 44hrs</v>
      </c>
      <c r="C13" s="103">
        <f>+Resumo!C12</f>
        <v>1</v>
      </c>
      <c r="D13" s="104">
        <f>+Resumo!D12</f>
        <v>1194.8499999999999</v>
      </c>
      <c r="E13" s="105">
        <f>+Resumo!E12</f>
        <v>3469.92</v>
      </c>
      <c r="F13" s="106">
        <f>+Resumo!F12</f>
        <v>2.9040632715403611</v>
      </c>
      <c r="G13" s="106">
        <f>+Resumo!G12</f>
        <v>2.9040632715403611</v>
      </c>
      <c r="H13" s="104">
        <f>+Resumo!H12</f>
        <v>3469.92</v>
      </c>
      <c r="I13" s="104">
        <f t="shared" si="0"/>
        <v>41639.040000000001</v>
      </c>
      <c r="K13" s="104">
        <f t="shared" si="1"/>
        <v>124917.12</v>
      </c>
      <c r="L13" s="93"/>
    </row>
    <row r="14" spans="1:12" s="100" customFormat="1" ht="15.75" x14ac:dyDescent="0.2">
      <c r="A14" s="102">
        <f t="shared" si="3"/>
        <v>9</v>
      </c>
      <c r="B14" s="95" t="str">
        <f>+Resumo!B13</f>
        <v>AUXILIAR DE ALMOXARIFADO - 44hrs</v>
      </c>
      <c r="C14" s="103">
        <f>+Resumo!C13</f>
        <v>1</v>
      </c>
      <c r="D14" s="104">
        <f>+Resumo!D13</f>
        <v>1194.8499999999999</v>
      </c>
      <c r="E14" s="105">
        <f>+Resumo!E13</f>
        <v>3469.92</v>
      </c>
      <c r="F14" s="106">
        <f>+Resumo!F13</f>
        <v>2.9040632715403611</v>
      </c>
      <c r="G14" s="106">
        <f>+Resumo!G13</f>
        <v>2.9040632715403611</v>
      </c>
      <c r="H14" s="104">
        <f>+Resumo!H13</f>
        <v>3469.92</v>
      </c>
      <c r="I14" s="104">
        <f t="shared" si="0"/>
        <v>41639.040000000001</v>
      </c>
      <c r="K14" s="104">
        <f t="shared" si="1"/>
        <v>124917.12</v>
      </c>
      <c r="L14" s="93">
        <f>D14/D51-1</f>
        <v>-0.41514929025942249</v>
      </c>
    </row>
    <row r="15" spans="1:12" s="100" customFormat="1" ht="15.75" x14ac:dyDescent="0.2">
      <c r="A15" s="102">
        <f t="shared" si="3"/>
        <v>10</v>
      </c>
      <c r="B15" s="95" t="str">
        <f>+Resumo!B14</f>
        <v>DUTEIRO - 44hrs</v>
      </c>
      <c r="C15" s="103">
        <f>+Resumo!C14</f>
        <v>1</v>
      </c>
      <c r="D15" s="104">
        <f>+Resumo!D14</f>
        <v>2218.89</v>
      </c>
      <c r="E15" s="105">
        <f>+Resumo!E14</f>
        <v>5437.34</v>
      </c>
      <c r="F15" s="106">
        <f>+Resumo!F14</f>
        <v>2.4504774909977511</v>
      </c>
      <c r="G15" s="106">
        <f>+Resumo!G14</f>
        <v>2.4504774909977511</v>
      </c>
      <c r="H15" s="104">
        <f>+Resumo!H14</f>
        <v>5437.34</v>
      </c>
      <c r="I15" s="104">
        <f t="shared" si="0"/>
        <v>65248.08</v>
      </c>
      <c r="K15" s="104">
        <f t="shared" si="1"/>
        <v>195744.24</v>
      </c>
      <c r="L15" s="93">
        <f>D15/D52-1</f>
        <v>-4.1681782845296778E-2</v>
      </c>
    </row>
    <row r="16" spans="1:12" s="100" customFormat="1" ht="45" x14ac:dyDescent="0.2">
      <c r="A16" s="102">
        <f t="shared" si="3"/>
        <v>11</v>
      </c>
      <c r="B16" s="95" t="str">
        <f>+Resumo!B15</f>
        <v>ELETROMECÂNICO DE AR-CONDICIONADO PLANTONISTA - 12x36hrs - DIURNO</v>
      </c>
      <c r="C16" s="103">
        <f>+Resumo!C15</f>
        <v>2</v>
      </c>
      <c r="D16" s="104">
        <f>+Resumo!D15</f>
        <v>3044.8</v>
      </c>
      <c r="E16" s="105">
        <f>+Resumo!E15</f>
        <v>6865.1</v>
      </c>
      <c r="F16" s="106">
        <f>+Resumo!F15</f>
        <v>2.2546965317919074</v>
      </c>
      <c r="G16" s="106">
        <f>+Resumo!G15</f>
        <v>4.5093930635838149</v>
      </c>
      <c r="H16" s="104">
        <f>+Resumo!H15</f>
        <v>13730.2</v>
      </c>
      <c r="I16" s="104">
        <f t="shared" si="0"/>
        <v>164762.4</v>
      </c>
      <c r="K16" s="104">
        <f t="shared" si="1"/>
        <v>494287.19999999995</v>
      </c>
      <c r="L16" s="93">
        <f>D16/D53-1</f>
        <v>1.9619253292865619</v>
      </c>
    </row>
    <row r="17" spans="1:12" s="100" customFormat="1" ht="45" x14ac:dyDescent="0.2">
      <c r="A17" s="102">
        <f t="shared" si="3"/>
        <v>12</v>
      </c>
      <c r="B17" s="95" t="str">
        <f>+Resumo!B16</f>
        <v>ELETROMECÂNICO DE AR-CONDICIONADO PLANTONISTA - 12x36hrs - NOTURNO</v>
      </c>
      <c r="C17" s="103">
        <f>+Resumo!C16</f>
        <v>2</v>
      </c>
      <c r="D17" s="104">
        <f>+Resumo!D16</f>
        <v>3267.86</v>
      </c>
      <c r="E17" s="105">
        <f>+Resumo!E16</f>
        <v>7094.56</v>
      </c>
      <c r="F17" s="106">
        <f>+Resumo!F16</f>
        <v>2.1710109980231711</v>
      </c>
      <c r="G17" s="106">
        <f>+Resumo!G16</f>
        <v>4.3420219960463422</v>
      </c>
      <c r="H17" s="104">
        <f>+Resumo!H16</f>
        <v>14189.12</v>
      </c>
      <c r="I17" s="104">
        <f t="shared" si="0"/>
        <v>170269.44</v>
      </c>
      <c r="K17" s="104">
        <f t="shared" si="1"/>
        <v>510808.32000000001</v>
      </c>
      <c r="L17" s="93">
        <f>D17/D54-1</f>
        <v>1.8049337361807321</v>
      </c>
    </row>
    <row r="18" spans="1:12" s="100" customFormat="1" ht="30" x14ac:dyDescent="0.2">
      <c r="A18" s="102">
        <f t="shared" si="3"/>
        <v>13</v>
      </c>
      <c r="B18" s="95" t="str">
        <f>+Resumo!B17</f>
        <v>AUXILIAR DE MANUTENÇÃO PLANTONISTA - 12x36hrs - DIURNO</v>
      </c>
      <c r="C18" s="103">
        <f>+Resumo!C17</f>
        <v>2</v>
      </c>
      <c r="D18" s="104">
        <f>+Resumo!D17</f>
        <v>1502.92</v>
      </c>
      <c r="E18" s="105">
        <f>+Resumo!E17</f>
        <v>3728.07</v>
      </c>
      <c r="F18" s="106">
        <f>+Resumo!F17</f>
        <v>2.4805511936763103</v>
      </c>
      <c r="G18" s="106">
        <f>+Resumo!G17</f>
        <v>4.9611023873526205</v>
      </c>
      <c r="H18" s="104">
        <f>+Resumo!H17</f>
        <v>7456.14</v>
      </c>
      <c r="I18" s="104">
        <f t="shared" si="0"/>
        <v>89473.68</v>
      </c>
      <c r="K18" s="104">
        <f t="shared" si="1"/>
        <v>268421.03999999998</v>
      </c>
      <c r="L18" s="93"/>
    </row>
    <row r="19" spans="1:12" s="100" customFormat="1" ht="30" x14ac:dyDescent="0.2">
      <c r="A19" s="102">
        <f t="shared" si="3"/>
        <v>14</v>
      </c>
      <c r="B19" s="95" t="str">
        <f>+Resumo!B18</f>
        <v>AUXILIAR DE MANUTENÇÃO PLANTONISTA - 12x36hrs - NOTURNO</v>
      </c>
      <c r="C19" s="103">
        <f>+Resumo!C18</f>
        <v>2</v>
      </c>
      <c r="D19" s="104">
        <f>+Resumo!D18</f>
        <v>1613.02</v>
      </c>
      <c r="E19" s="105">
        <f>+Resumo!E18</f>
        <v>3944.05</v>
      </c>
      <c r="F19" s="106">
        <f>+Resumo!F18</f>
        <v>2.4451339723004057</v>
      </c>
      <c r="G19" s="106">
        <f>+Resumo!G18</f>
        <v>4.8902679446008115</v>
      </c>
      <c r="H19" s="104">
        <f>+Resumo!H18</f>
        <v>7888.1</v>
      </c>
      <c r="I19" s="104">
        <f t="shared" si="0"/>
        <v>94657.2</v>
      </c>
      <c r="K19" s="104">
        <f t="shared" si="1"/>
        <v>283971.59999999998</v>
      </c>
      <c r="L19" s="93"/>
    </row>
    <row r="20" spans="1:12" s="100" customFormat="1" ht="15.75" x14ac:dyDescent="0.2">
      <c r="A20" s="107"/>
      <c r="B20" s="108" t="s">
        <v>90</v>
      </c>
      <c r="C20" s="109">
        <f>+SUM(C6:C19)</f>
        <v>74</v>
      </c>
      <c r="D20" s="110">
        <f>+SUMPRODUCT($C$6:$C$19,$D$6:$D$19)</f>
        <v>197617.93000000005</v>
      </c>
      <c r="E20" s="110">
        <f>SUMPRODUCT($E$6:$E$19,$C$6:$C$19)</f>
        <v>440986.55999999994</v>
      </c>
      <c r="F20" s="111">
        <f>ROUND(E20/D20,7)</f>
        <v>2.2315109</v>
      </c>
      <c r="G20" s="111">
        <f>SUM(G6:G19)/C20</f>
        <v>2.32823219479222</v>
      </c>
      <c r="H20" s="110">
        <f>ROUND(SUM(H6:H19),2)</f>
        <v>440986.56</v>
      </c>
      <c r="I20" s="112"/>
      <c r="K20" s="112"/>
    </row>
    <row r="21" spans="1:12" s="100" customFormat="1" ht="15.75" x14ac:dyDescent="0.2">
      <c r="A21" s="107"/>
      <c r="B21" s="108" t="s">
        <v>91</v>
      </c>
      <c r="C21" s="112"/>
      <c r="D21" s="110">
        <f>ROUND(D20*12,2)</f>
        <v>2371415.16</v>
      </c>
      <c r="E21" s="110">
        <f>ROUND(E20*12,2)</f>
        <v>5291838.72</v>
      </c>
      <c r="F21" s="111">
        <f>ROUND(E21/D21,7)</f>
        <v>2.2315109</v>
      </c>
      <c r="G21" s="112"/>
      <c r="H21" s="112"/>
      <c r="I21" s="110">
        <f>SUM(I6:I19)</f>
        <v>5291838.7200000007</v>
      </c>
      <c r="K21" s="110">
        <f t="shared" si="1"/>
        <v>15875516.160000002</v>
      </c>
    </row>
    <row r="22" spans="1:12" s="100" customFormat="1" ht="27.75" hidden="1" customHeight="1" x14ac:dyDescent="0.2">
      <c r="A22" s="305" t="s">
        <v>100</v>
      </c>
      <c r="B22" s="305"/>
      <c r="C22" s="305"/>
      <c r="D22" s="305"/>
      <c r="E22" s="305"/>
      <c r="F22" s="305"/>
      <c r="G22" s="305"/>
      <c r="H22" s="305"/>
      <c r="I22" s="305"/>
    </row>
    <row r="23" spans="1:12" s="100" customFormat="1" ht="14.25" hidden="1" customHeight="1" x14ac:dyDescent="0.2">
      <c r="A23" s="303"/>
      <c r="B23" s="303"/>
      <c r="C23" s="303"/>
      <c r="D23" s="303"/>
      <c r="E23" s="303"/>
      <c r="F23" s="303"/>
      <c r="G23" s="303"/>
      <c r="H23" s="303"/>
      <c r="I23" s="303"/>
    </row>
    <row r="24" spans="1:12" s="100" customFormat="1" ht="45" hidden="1" x14ac:dyDescent="0.2">
      <c r="A24" s="101" t="s">
        <v>92</v>
      </c>
      <c r="B24" s="101" t="s">
        <v>93</v>
      </c>
      <c r="C24" s="101" t="s">
        <v>89</v>
      </c>
      <c r="D24" s="101" t="s">
        <v>101</v>
      </c>
      <c r="E24" s="101" t="s">
        <v>95</v>
      </c>
      <c r="F24" s="101" t="s">
        <v>96</v>
      </c>
      <c r="G24" s="101" t="s">
        <v>97</v>
      </c>
      <c r="H24" s="101" t="s">
        <v>98</v>
      </c>
      <c r="I24" s="101" t="s">
        <v>99</v>
      </c>
      <c r="K24" s="101"/>
    </row>
    <row r="25" spans="1:12" s="100" customFormat="1" ht="30" hidden="1" customHeight="1" x14ac:dyDescent="0.2">
      <c r="A25" s="102">
        <v>11</v>
      </c>
      <c r="B25" s="95" t="e">
        <f>#REF!</f>
        <v>#REF!</v>
      </c>
      <c r="C25" s="103">
        <v>56</v>
      </c>
      <c r="D25" s="104" t="e">
        <f>#REF!</f>
        <v>#REF!</v>
      </c>
      <c r="E25" s="105" t="e">
        <f>#REF!</f>
        <v>#REF!</v>
      </c>
      <c r="F25" s="106" t="e">
        <f t="shared" ref="F25:F26" si="4">IF(C25&gt;0,E25/D25,0)</f>
        <v>#REF!</v>
      </c>
      <c r="G25" s="106" t="e">
        <f t="shared" ref="G25" si="5">IF(C25&gt;0,F25*C25,0)</f>
        <v>#REF!</v>
      </c>
      <c r="H25" s="104" t="e">
        <f>IF(C25&gt;0,ROUND(C25*E25,2),0)</f>
        <v>#REF!</v>
      </c>
      <c r="I25" s="104" t="e">
        <f>IF(C25&gt;0,ROUND(H25*12,2),0)</f>
        <v>#REF!</v>
      </c>
      <c r="K25" s="104"/>
    </row>
    <row r="26" spans="1:12" s="100" customFormat="1" ht="30" hidden="1" customHeight="1" x14ac:dyDescent="0.2">
      <c r="A26" s="102">
        <v>12</v>
      </c>
      <c r="B26" s="95" t="e">
        <f>#REF!</f>
        <v>#REF!</v>
      </c>
      <c r="C26" s="103">
        <v>56</v>
      </c>
      <c r="D26" s="104" t="e">
        <f>#REF!</f>
        <v>#REF!</v>
      </c>
      <c r="E26" s="105" t="e">
        <f>#REF!</f>
        <v>#REF!</v>
      </c>
      <c r="F26" s="106" t="e">
        <f t="shared" si="4"/>
        <v>#REF!</v>
      </c>
      <c r="G26" s="106" t="e">
        <f>IF(C26&gt;0,F26*C26,0)</f>
        <v>#REF!</v>
      </c>
      <c r="H26" s="104" t="e">
        <f>IF(C26&gt;0,ROUND(C26*E26,2),0)</f>
        <v>#REF!</v>
      </c>
      <c r="I26" s="104" t="e">
        <f>IF(C26&gt;0,ROUND(H26*12,2),0)</f>
        <v>#REF!</v>
      </c>
      <c r="K26" s="104"/>
    </row>
    <row r="27" spans="1:12" s="100" customFormat="1" ht="15.75" hidden="1" x14ac:dyDescent="0.2">
      <c r="A27" s="107"/>
      <c r="B27" s="108" t="s">
        <v>90</v>
      </c>
      <c r="C27" s="109">
        <f>SUM(C25:C26)</f>
        <v>112</v>
      </c>
      <c r="D27" s="110" t="e">
        <f>ROUND(SUMPRODUCT(C25:C26,D25:D26),2)</f>
        <v>#REF!</v>
      </c>
      <c r="E27" s="110" t="e">
        <f>ROUND(SUMPRODUCT(C25:C26,E25:E26),2)</f>
        <v>#REF!</v>
      </c>
      <c r="F27" s="111" t="e">
        <f>ROUND(E27/D27,7)</f>
        <v>#REF!</v>
      </c>
      <c r="G27" s="111" t="e">
        <f>ROUND(SUM(G25:G26)/C27,7)</f>
        <v>#REF!</v>
      </c>
      <c r="H27" s="110" t="e">
        <f>ROUND(SUM(H25:H26),2)</f>
        <v>#REF!</v>
      </c>
      <c r="I27" s="112"/>
      <c r="K27" s="112"/>
    </row>
    <row r="28" spans="1:12" s="100" customFormat="1" ht="15.75" hidden="1" x14ac:dyDescent="0.2">
      <c r="A28" s="107"/>
      <c r="B28" s="108" t="s">
        <v>91</v>
      </c>
      <c r="C28" s="112"/>
      <c r="D28" s="110" t="e">
        <f>ROUND(D27*12,2)</f>
        <v>#REF!</v>
      </c>
      <c r="E28" s="110" t="e">
        <f>ROUND(E27*12,2)</f>
        <v>#REF!</v>
      </c>
      <c r="F28" s="111" t="e">
        <f>ROUND(E28/D28,7)</f>
        <v>#REF!</v>
      </c>
      <c r="G28" s="112"/>
      <c r="H28" s="110" t="e">
        <f>ROUND(H27*12,2)</f>
        <v>#REF!</v>
      </c>
      <c r="I28" s="110" t="e">
        <f>ROUND(SUM(I25:I26),2)</f>
        <v>#REF!</v>
      </c>
      <c r="K28" s="110"/>
    </row>
    <row r="29" spans="1:12" hidden="1" x14ac:dyDescent="0.2"/>
    <row r="30" spans="1:12" ht="27.75" hidden="1" customHeight="1" x14ac:dyDescent="0.2">
      <c r="A30" s="305" t="s">
        <v>102</v>
      </c>
      <c r="B30" s="305"/>
      <c r="C30" s="305"/>
      <c r="D30" s="305"/>
      <c r="E30" s="305"/>
      <c r="F30" s="305"/>
      <c r="G30" s="305"/>
      <c r="H30" s="305"/>
      <c r="I30" s="305"/>
    </row>
    <row r="31" spans="1:12" ht="14.25" hidden="1" customHeight="1" x14ac:dyDescent="0.2">
      <c r="A31" s="303"/>
      <c r="B31" s="303"/>
      <c r="C31" s="303"/>
      <c r="D31" s="303"/>
      <c r="E31" s="303"/>
      <c r="F31" s="303"/>
      <c r="G31" s="303"/>
      <c r="H31" s="303"/>
      <c r="I31" s="303"/>
    </row>
    <row r="32" spans="1:12" ht="45" hidden="1" x14ac:dyDescent="0.2">
      <c r="A32" s="101" t="s">
        <v>92</v>
      </c>
      <c r="B32" s="101" t="s">
        <v>103</v>
      </c>
      <c r="C32" s="101" t="s">
        <v>89</v>
      </c>
      <c r="D32" s="101" t="s">
        <v>101</v>
      </c>
      <c r="E32" s="101" t="s">
        <v>95</v>
      </c>
      <c r="F32" s="101" t="s">
        <v>96</v>
      </c>
      <c r="G32" s="101" t="s">
        <v>97</v>
      </c>
      <c r="H32" s="101" t="s">
        <v>98</v>
      </c>
      <c r="I32" s="101" t="s">
        <v>99</v>
      </c>
      <c r="K32" s="101"/>
    </row>
    <row r="33" spans="1:11" ht="15.75" hidden="1" x14ac:dyDescent="0.2">
      <c r="A33" s="115">
        <v>13</v>
      </c>
      <c r="B33" s="116" t="e">
        <f>#REF!</f>
        <v>#REF!</v>
      </c>
      <c r="C33" s="117">
        <v>15</v>
      </c>
      <c r="D33" s="118" t="e">
        <f>#REF!</f>
        <v>#REF!</v>
      </c>
      <c r="E33" s="119" t="e">
        <f>#REF!</f>
        <v>#REF!</v>
      </c>
      <c r="F33" s="120" t="e">
        <f t="shared" ref="F33" si="6">IF(C33&gt;0,E33/D33,0)</f>
        <v>#REF!</v>
      </c>
      <c r="G33" s="120" t="e">
        <f>IF(C33&gt;0,F33*C33,0)</f>
        <v>#REF!</v>
      </c>
      <c r="H33" s="118" t="e">
        <f>IF(C33&gt;0,ROUND(C33*E33,2),0)</f>
        <v>#REF!</v>
      </c>
      <c r="I33" s="118" t="e">
        <f>IF(C33&gt;0,ROUND(H33*12,2),0)</f>
        <v>#REF!</v>
      </c>
      <c r="K33" s="118"/>
    </row>
    <row r="34" spans="1:11" s="100" customFormat="1" ht="15.75" hidden="1" x14ac:dyDescent="0.2">
      <c r="A34" s="107"/>
      <c r="B34" s="108" t="s">
        <v>90</v>
      </c>
      <c r="C34" s="109">
        <v>15</v>
      </c>
      <c r="D34" s="110" t="e">
        <f>ROUND(SUMPRODUCT(C33,D33),2)</f>
        <v>#REF!</v>
      </c>
      <c r="E34" s="110" t="e">
        <f>ROUND(SUMPRODUCT(C33,E33),2)</f>
        <v>#REF!</v>
      </c>
      <c r="F34" s="111" t="e">
        <f>ROUND(E34/D34,7)</f>
        <v>#REF!</v>
      </c>
      <c r="G34" s="111" t="e">
        <f>ROUND(SUM(G33)/C34,7)</f>
        <v>#REF!</v>
      </c>
      <c r="H34" s="110" t="e">
        <f>ROUND(SUM(H33),2)</f>
        <v>#REF!</v>
      </c>
      <c r="I34" s="112"/>
      <c r="K34" s="112"/>
    </row>
    <row r="35" spans="1:11" s="100" customFormat="1" ht="15.75" hidden="1" x14ac:dyDescent="0.2">
      <c r="A35" s="107"/>
      <c r="B35" s="108" t="s">
        <v>91</v>
      </c>
      <c r="C35" s="112"/>
      <c r="D35" s="110" t="e">
        <f>ROUND(D34*12,2)</f>
        <v>#REF!</v>
      </c>
      <c r="E35" s="110" t="e">
        <f>ROUND(E34*12,2)</f>
        <v>#REF!</v>
      </c>
      <c r="F35" s="111" t="e">
        <f>ROUND(E35/D35,7)</f>
        <v>#REF!</v>
      </c>
      <c r="G35" s="112"/>
      <c r="H35" s="110" t="e">
        <f>ROUND(H34*12,2)</f>
        <v>#REF!</v>
      </c>
      <c r="I35" s="110" t="e">
        <f>ROUND(SUM(I33),)</f>
        <v>#REF!</v>
      </c>
      <c r="K35" s="110"/>
    </row>
    <row r="36" spans="1:11" hidden="1" x14ac:dyDescent="0.2"/>
    <row r="37" spans="1:11" ht="36" hidden="1" x14ac:dyDescent="0.2">
      <c r="B37" s="121" t="s">
        <v>104</v>
      </c>
      <c r="C37" s="122">
        <f>C20+C27+C34</f>
        <v>201</v>
      </c>
      <c r="D37" s="123" t="e">
        <f>ROUND(SUM(D20,D27,D34),2)</f>
        <v>#REF!</v>
      </c>
      <c r="E37" s="123" t="e">
        <f>ROUND(SUM(E20,E27,E34),2)</f>
        <v>#REF!</v>
      </c>
      <c r="F37" s="124" t="e">
        <f>ROUND(E37/D37,7)</f>
        <v>#REF!</v>
      </c>
      <c r="G37" s="124" t="e">
        <f>ROUND(SUM(G6:G6,G25:G26,G33)/C37,7)</f>
        <v>#REF!</v>
      </c>
      <c r="H37" s="123" t="e">
        <f>ROUND(SUM(H20,H27,H34),2)</f>
        <v>#REF!</v>
      </c>
      <c r="I37" s="112"/>
      <c r="K37" s="112"/>
    </row>
    <row r="38" spans="1:11" ht="18.75" hidden="1" x14ac:dyDescent="0.2">
      <c r="B38" s="121" t="s">
        <v>105</v>
      </c>
      <c r="C38" s="112"/>
      <c r="D38" s="123" t="e">
        <f>ROUND(D37*12,2)</f>
        <v>#REF!</v>
      </c>
      <c r="E38" s="123" t="e">
        <f>ROUND(E37*12,2)</f>
        <v>#REF!</v>
      </c>
      <c r="F38" s="124" t="e">
        <f>ROUND(E38/D38,7)</f>
        <v>#REF!</v>
      </c>
      <c r="G38" s="112"/>
      <c r="H38" s="123" t="e">
        <f>ROUND(H37*12,2)</f>
        <v>#REF!</v>
      </c>
      <c r="I38" s="123" t="e">
        <f>ROUND(SUM(I6:I6,I25:I26,I33),2)</f>
        <v>#REF!</v>
      </c>
      <c r="K38" s="123"/>
    </row>
    <row r="39" spans="1:11" hidden="1" x14ac:dyDescent="0.2"/>
    <row r="41" spans="1:11" x14ac:dyDescent="0.2">
      <c r="D41" s="149"/>
      <c r="I41" s="125"/>
      <c r="K41" s="125"/>
    </row>
    <row r="42" spans="1:11" s="100" customFormat="1" ht="27.75" customHeight="1" x14ac:dyDescent="0.2">
      <c r="A42" s="306" t="s">
        <v>271</v>
      </c>
      <c r="B42" s="307"/>
      <c r="C42" s="307"/>
      <c r="D42" s="307"/>
      <c r="E42" s="307"/>
      <c r="F42" s="307"/>
      <c r="G42" s="307"/>
      <c r="H42" s="307"/>
      <c r="I42" s="308"/>
    </row>
    <row r="43" spans="1:11" ht="45" x14ac:dyDescent="0.2">
      <c r="A43" s="101" t="s">
        <v>92</v>
      </c>
      <c r="B43" s="101" t="s">
        <v>93</v>
      </c>
      <c r="C43" s="101" t="s">
        <v>89</v>
      </c>
      <c r="D43" s="101" t="s">
        <v>94</v>
      </c>
      <c r="E43" s="101" t="s">
        <v>95</v>
      </c>
      <c r="F43" s="101" t="s">
        <v>96</v>
      </c>
      <c r="G43" s="101" t="s">
        <v>97</v>
      </c>
      <c r="H43" s="101" t="s">
        <v>98</v>
      </c>
      <c r="I43" s="101" t="s">
        <v>99</v>
      </c>
      <c r="K43" s="101" t="s">
        <v>288</v>
      </c>
    </row>
    <row r="44" spans="1:11" ht="30" x14ac:dyDescent="0.2">
      <c r="A44" s="102">
        <v>1</v>
      </c>
      <c r="B44" s="95" t="str">
        <f>+'[2]Resumo Geral 6ºTA'!B8</f>
        <v>SUPERVISOR TÉCNICO DE AR-CONDICIONADO</v>
      </c>
      <c r="C44" s="103">
        <f>+'[2]Resumo Geral 6ºTA'!C8</f>
        <v>1</v>
      </c>
      <c r="D44" s="104">
        <v>8134.01</v>
      </c>
      <c r="E44" s="105">
        <v>14934.650000000001</v>
      </c>
      <c r="F44" s="106">
        <f t="shared" ref="F44:F56" si="7">IF(C44&gt;0,E44/D44,0)</f>
        <v>1.8360747036209695</v>
      </c>
      <c r="G44" s="106">
        <f t="shared" ref="G44:G56" si="8">IF(C44&gt;0,F44*C44,0)</f>
        <v>1.8360747036209695</v>
      </c>
      <c r="H44" s="104">
        <f>IF(C44&gt;0,ROUND(C44*E44,2),0)</f>
        <v>14934.65</v>
      </c>
      <c r="I44" s="104">
        <f>IF(C44&gt;0,ROUND(H44*12,2),0)</f>
        <v>179215.8</v>
      </c>
      <c r="J44" s="127"/>
      <c r="K44" s="104">
        <f t="shared" ref="K44:K58" si="9">+I44*3</f>
        <v>537647.39999999991</v>
      </c>
    </row>
    <row r="45" spans="1:11" ht="30" x14ac:dyDescent="0.2">
      <c r="A45" s="102">
        <f>1+A44</f>
        <v>2</v>
      </c>
      <c r="B45" s="95" t="str">
        <f>+'[2]Resumo Geral 6ºTA'!B9</f>
        <v>SUPERVISOR TÉCNICO DE AUTOMAÇÃO</v>
      </c>
      <c r="C45" s="103">
        <f>+'[2]Resumo Geral 6ºTA'!C9</f>
        <v>1</v>
      </c>
      <c r="D45" s="104">
        <v>8134.01</v>
      </c>
      <c r="E45" s="105">
        <v>14934.64</v>
      </c>
      <c r="F45" s="106">
        <f t="shared" si="7"/>
        <v>1.8360734742150548</v>
      </c>
      <c r="G45" s="106">
        <f t="shared" si="8"/>
        <v>1.8360734742150548</v>
      </c>
      <c r="H45" s="104">
        <f t="shared" ref="H45:H53" si="10">IF(C45&gt;0,ROUND(C45*E45,2),0)</f>
        <v>14934.64</v>
      </c>
      <c r="I45" s="104">
        <f t="shared" ref="I45:I53" si="11">IF(C45&gt;0,ROUND(H45*12,2),0)</f>
        <v>179215.68</v>
      </c>
      <c r="J45" s="127"/>
      <c r="K45" s="104">
        <f t="shared" si="9"/>
        <v>537647.04</v>
      </c>
    </row>
    <row r="46" spans="1:11" ht="15.75" x14ac:dyDescent="0.2">
      <c r="A46" s="102">
        <f t="shared" ref="A46:A56" si="12">1+A45</f>
        <v>3</v>
      </c>
      <c r="B46" s="95" t="str">
        <f>+'[2]Resumo Geral 6ºTA'!B10</f>
        <v>ENCARREGADO</v>
      </c>
      <c r="C46" s="103">
        <f>+'[2]Resumo Geral 6ºTA'!C10</f>
        <v>4</v>
      </c>
      <c r="D46" s="104">
        <v>2601.71</v>
      </c>
      <c r="E46" s="105">
        <v>5590.76</v>
      </c>
      <c r="F46" s="106">
        <f t="shared" si="7"/>
        <v>2.1488790064995715</v>
      </c>
      <c r="G46" s="106">
        <f t="shared" si="8"/>
        <v>8.5955160259982861</v>
      </c>
      <c r="H46" s="104">
        <f t="shared" si="10"/>
        <v>22363.040000000001</v>
      </c>
      <c r="I46" s="104">
        <f t="shared" si="11"/>
        <v>268356.47999999998</v>
      </c>
      <c r="J46" s="127"/>
      <c r="K46" s="104">
        <f t="shared" si="9"/>
        <v>805069.44</v>
      </c>
    </row>
    <row r="47" spans="1:11" ht="15.75" x14ac:dyDescent="0.2">
      <c r="A47" s="102">
        <f t="shared" si="12"/>
        <v>4</v>
      </c>
      <c r="B47" s="95" t="str">
        <f>+'[2]Resumo Geral 6ºTA'!B11</f>
        <v>TÉCNICO ELETROMECÂNICO</v>
      </c>
      <c r="C47" s="103">
        <f>+'[2]Resumo Geral 6ºTA'!C11</f>
        <v>3</v>
      </c>
      <c r="D47" s="104">
        <v>2043</v>
      </c>
      <c r="E47" s="105">
        <v>4637.42</v>
      </c>
      <c r="F47" s="106">
        <f t="shared" si="7"/>
        <v>2.2699069995105239</v>
      </c>
      <c r="G47" s="106">
        <f t="shared" si="8"/>
        <v>6.8097209985315716</v>
      </c>
      <c r="H47" s="104">
        <f t="shared" si="10"/>
        <v>13912.26</v>
      </c>
      <c r="I47" s="104">
        <f t="shared" si="11"/>
        <v>166947.12</v>
      </c>
      <c r="J47" s="127"/>
      <c r="K47" s="104">
        <f t="shared" si="9"/>
        <v>500841.36</v>
      </c>
    </row>
    <row r="48" spans="1:11" ht="15.75" x14ac:dyDescent="0.2">
      <c r="A48" s="102">
        <f t="shared" si="12"/>
        <v>5</v>
      </c>
      <c r="B48" s="95" t="str">
        <f>+'[2]Resumo Geral 6ºTA'!B12</f>
        <v>TÉCNICO EM COMANDO ELÉTRICO</v>
      </c>
      <c r="C48" s="103">
        <f>+'[2]Resumo Geral 6ºTA'!C12</f>
        <v>3</v>
      </c>
      <c r="D48" s="104">
        <v>2043</v>
      </c>
      <c r="E48" s="105">
        <v>4637.42</v>
      </c>
      <c r="F48" s="106">
        <f t="shared" si="7"/>
        <v>2.2699069995105239</v>
      </c>
      <c r="G48" s="106">
        <f t="shared" si="8"/>
        <v>6.8097209985315716</v>
      </c>
      <c r="H48" s="104">
        <f t="shared" si="10"/>
        <v>13912.26</v>
      </c>
      <c r="I48" s="104">
        <f t="shared" si="11"/>
        <v>166947.12</v>
      </c>
      <c r="J48" s="127"/>
      <c r="K48" s="104">
        <f t="shared" si="9"/>
        <v>500841.36</v>
      </c>
    </row>
    <row r="49" spans="1:11" ht="15.75" x14ac:dyDescent="0.2">
      <c r="A49" s="102">
        <f t="shared" si="12"/>
        <v>6</v>
      </c>
      <c r="B49" s="95" t="str">
        <f>+'[2]Resumo Geral 6ºTA'!B13</f>
        <v>TÉCNICO EM AR-CONDICIONADO</v>
      </c>
      <c r="C49" s="103">
        <f>+'[2]Resumo Geral 6ºTA'!C13</f>
        <v>3</v>
      </c>
      <c r="D49" s="104">
        <v>2043</v>
      </c>
      <c r="E49" s="105">
        <v>4637.42</v>
      </c>
      <c r="F49" s="106">
        <f t="shared" si="7"/>
        <v>2.2699069995105239</v>
      </c>
      <c r="G49" s="106">
        <f t="shared" si="8"/>
        <v>6.8097209985315716</v>
      </c>
      <c r="H49" s="104">
        <f t="shared" si="10"/>
        <v>13912.26</v>
      </c>
      <c r="I49" s="104">
        <f t="shared" si="11"/>
        <v>166947.12</v>
      </c>
      <c r="J49" s="127"/>
      <c r="K49" s="104">
        <f t="shared" si="9"/>
        <v>500841.36</v>
      </c>
    </row>
    <row r="50" spans="1:11" ht="15.75" x14ac:dyDescent="0.2">
      <c r="A50" s="102">
        <f t="shared" si="12"/>
        <v>7</v>
      </c>
      <c r="B50" s="95" t="str">
        <f>+'[2]Resumo Geral 6ºTA'!B14</f>
        <v>TÉCNICO EM AUTOMAÇÃO</v>
      </c>
      <c r="C50" s="103">
        <f>+'[2]Resumo Geral 6ºTA'!C14</f>
        <v>3</v>
      </c>
      <c r="D50" s="104">
        <v>2043</v>
      </c>
      <c r="E50" s="105">
        <v>4637.42</v>
      </c>
      <c r="F50" s="106">
        <f t="shared" si="7"/>
        <v>2.2699069995105239</v>
      </c>
      <c r="G50" s="106">
        <f t="shared" si="8"/>
        <v>6.8097209985315716</v>
      </c>
      <c r="H50" s="104">
        <f t="shared" si="10"/>
        <v>13912.26</v>
      </c>
      <c r="I50" s="104">
        <f t="shared" si="11"/>
        <v>166947.12</v>
      </c>
      <c r="J50" s="127"/>
      <c r="K50" s="104">
        <f t="shared" si="9"/>
        <v>500841.36</v>
      </c>
    </row>
    <row r="51" spans="1:11" ht="30" x14ac:dyDescent="0.2">
      <c r="A51" s="102">
        <f t="shared" si="12"/>
        <v>8</v>
      </c>
      <c r="B51" s="95" t="str">
        <f>+'[2]Resumo Geral 6ºTA'!B15</f>
        <v>ELETROMECÂNICO EM AR-CONDICIONADO DIURNO</v>
      </c>
      <c r="C51" s="103">
        <f>+'[2]Resumo Geral 6ºTA'!C15</f>
        <v>8</v>
      </c>
      <c r="D51" s="104">
        <v>2043</v>
      </c>
      <c r="E51" s="105">
        <v>4599.2700000000004</v>
      </c>
      <c r="F51" s="106">
        <f t="shared" si="7"/>
        <v>2.2512334801762117</v>
      </c>
      <c r="G51" s="106">
        <f t="shared" si="8"/>
        <v>18.009867841409694</v>
      </c>
      <c r="H51" s="104">
        <f t="shared" si="10"/>
        <v>36794.160000000003</v>
      </c>
      <c r="I51" s="104">
        <f t="shared" si="11"/>
        <v>441529.92</v>
      </c>
      <c r="J51" s="127"/>
      <c r="K51" s="104">
        <f t="shared" si="9"/>
        <v>1324589.76</v>
      </c>
    </row>
    <row r="52" spans="1:11" ht="30" x14ac:dyDescent="0.2">
      <c r="A52" s="102">
        <f t="shared" si="12"/>
        <v>9</v>
      </c>
      <c r="B52" s="95" t="str">
        <f>+'[2]Resumo Geral 6ºTA'!B16</f>
        <v>ELETROMECÂNICO EM AR-CONDICIONADO NOTURNO</v>
      </c>
      <c r="C52" s="103">
        <f>+'[2]Resumo Geral 6ºTA'!C16</f>
        <v>8</v>
      </c>
      <c r="D52" s="104">
        <v>2315.4</v>
      </c>
      <c r="E52" s="105">
        <v>5097.46</v>
      </c>
      <c r="F52" s="106">
        <f t="shared" si="7"/>
        <v>2.2015461691284441</v>
      </c>
      <c r="G52" s="106">
        <f t="shared" si="8"/>
        <v>17.612369353027553</v>
      </c>
      <c r="H52" s="104">
        <f t="shared" si="10"/>
        <v>40779.68</v>
      </c>
      <c r="I52" s="104">
        <f t="shared" si="11"/>
        <v>489356.16</v>
      </c>
      <c r="J52" s="127"/>
      <c r="K52" s="104">
        <f t="shared" si="9"/>
        <v>1468068.48</v>
      </c>
    </row>
    <row r="53" spans="1:11" ht="15.75" x14ac:dyDescent="0.2">
      <c r="A53" s="102">
        <f t="shared" si="12"/>
        <v>10</v>
      </c>
      <c r="B53" s="95" t="str">
        <f>+'[2]Resumo Geral 6ºTA'!B17</f>
        <v>AUXILIAR DE MANUTENÇÃO DIURNO</v>
      </c>
      <c r="C53" s="103">
        <f>+'[2]Resumo Geral 6ºTA'!C17</f>
        <v>2</v>
      </c>
      <c r="D53" s="104">
        <v>1027.98</v>
      </c>
      <c r="E53" s="105">
        <v>2739.08</v>
      </c>
      <c r="F53" s="106">
        <f t="shared" si="7"/>
        <v>2.6645265472090895</v>
      </c>
      <c r="G53" s="106">
        <f t="shared" si="8"/>
        <v>5.3290530944181791</v>
      </c>
      <c r="H53" s="104">
        <f t="shared" si="10"/>
        <v>5478.16</v>
      </c>
      <c r="I53" s="104">
        <f t="shared" si="11"/>
        <v>65737.919999999998</v>
      </c>
      <c r="J53" s="127"/>
      <c r="K53" s="104">
        <f t="shared" si="9"/>
        <v>197213.76</v>
      </c>
    </row>
    <row r="54" spans="1:11" ht="30" x14ac:dyDescent="0.2">
      <c r="A54" s="102">
        <f t="shared" si="12"/>
        <v>11</v>
      </c>
      <c r="B54" s="95" t="str">
        <f>+'[2]Resumo Geral 6ºTA'!B18</f>
        <v>AUXILIAR DE MANUTENÇÃO NOTURNO</v>
      </c>
      <c r="C54" s="103">
        <f>+'[2]Resumo Geral 6ºTA'!C18</f>
        <v>2</v>
      </c>
      <c r="D54" s="104">
        <v>1165.04</v>
      </c>
      <c r="E54" s="105">
        <v>2989.27</v>
      </c>
      <c r="F54" s="106">
        <f t="shared" si="7"/>
        <v>2.5658088992652615</v>
      </c>
      <c r="G54" s="106">
        <f t="shared" si="8"/>
        <v>5.1316177985305229</v>
      </c>
      <c r="H54" s="104">
        <f t="shared" ref="H54:H56" si="13">IF(C54&gt;0,ROUND(C54*E54,2),0)</f>
        <v>5978.54</v>
      </c>
      <c r="I54" s="104">
        <f t="shared" ref="I54:I56" si="14">IF(C54&gt;0,ROUND(H54*12,2),0)</f>
        <v>71742.48</v>
      </c>
      <c r="J54" s="127"/>
      <c r="K54" s="104">
        <f t="shared" si="9"/>
        <v>215227.44</v>
      </c>
    </row>
    <row r="55" spans="1:11" ht="30" x14ac:dyDescent="0.2">
      <c r="A55" s="102">
        <f t="shared" si="12"/>
        <v>12</v>
      </c>
      <c r="B55" s="95" t="str">
        <f>+'[2]Resumo Geral 6ºTA'!B19</f>
        <v>OPERADOR DE AUTOMAÇÃO DIURNO</v>
      </c>
      <c r="C55" s="103">
        <f>+'[2]Resumo Geral 6ºTA'!C19</f>
        <v>6</v>
      </c>
      <c r="D55" s="104">
        <v>1133.53</v>
      </c>
      <c r="E55" s="105">
        <v>2932.35</v>
      </c>
      <c r="F55" s="106">
        <f t="shared" si="7"/>
        <v>2.5869187405714889</v>
      </c>
      <c r="G55" s="106">
        <f t="shared" si="8"/>
        <v>15.521512443428932</v>
      </c>
      <c r="H55" s="104">
        <f t="shared" si="13"/>
        <v>17594.099999999999</v>
      </c>
      <c r="I55" s="104">
        <f t="shared" si="14"/>
        <v>211129.2</v>
      </c>
      <c r="J55" s="127"/>
      <c r="K55" s="104">
        <f t="shared" si="9"/>
        <v>633387.60000000009</v>
      </c>
    </row>
    <row r="56" spans="1:11" ht="30" x14ac:dyDescent="0.2">
      <c r="A56" s="102">
        <f t="shared" si="12"/>
        <v>13</v>
      </c>
      <c r="B56" s="95" t="str">
        <f>+'[2]Resumo Geral 6ºTA'!B20</f>
        <v>OPERADOR DE AUTOMAÇÃO NOTURNO</v>
      </c>
      <c r="C56" s="103">
        <f>+'[2]Resumo Geral 6ºTA'!C20</f>
        <v>6</v>
      </c>
      <c r="D56" s="104">
        <v>1284.67</v>
      </c>
      <c r="E56" s="105">
        <v>3208.38</v>
      </c>
      <c r="F56" s="106">
        <f t="shared" si="7"/>
        <v>2.497435138985109</v>
      </c>
      <c r="G56" s="106">
        <f t="shared" si="8"/>
        <v>14.984610833910654</v>
      </c>
      <c r="H56" s="104">
        <f t="shared" si="13"/>
        <v>19250.28</v>
      </c>
      <c r="I56" s="104">
        <f t="shared" si="14"/>
        <v>231003.36</v>
      </c>
      <c r="J56" s="127"/>
      <c r="K56" s="104">
        <f t="shared" si="9"/>
        <v>693010.08</v>
      </c>
    </row>
    <row r="57" spans="1:11" ht="15.75" x14ac:dyDescent="0.2">
      <c r="A57" s="107"/>
      <c r="B57" s="108" t="s">
        <v>90</v>
      </c>
      <c r="C57" s="109">
        <f>+SUM(C44:C56)</f>
        <v>50</v>
      </c>
      <c r="D57" s="110">
        <f>+SUMPRODUCT($C$44:$C$56,$D$44:$D$56)</f>
        <v>104953.3</v>
      </c>
      <c r="E57" s="110">
        <f>SUMPRODUCT($E$44:$E$56,$C$44:$C$56)</f>
        <v>233756.28999999998</v>
      </c>
      <c r="F57" s="111">
        <f>ROUND(E57/D57,7)</f>
        <v>2.2272409999999998</v>
      </c>
      <c r="G57" s="111">
        <f>SUM(G44:G56)/C57</f>
        <v>2.3219115912537229</v>
      </c>
      <c r="H57" s="110">
        <f>ROUND(SUM(H44:H56),2)</f>
        <v>233756.29</v>
      </c>
      <c r="I57" s="112"/>
      <c r="K57" s="112"/>
    </row>
    <row r="58" spans="1:11" ht="15.75" x14ac:dyDescent="0.2">
      <c r="A58" s="107"/>
      <c r="B58" s="108" t="s">
        <v>91</v>
      </c>
      <c r="C58" s="112"/>
      <c r="D58" s="110">
        <f>ROUND(D57*12,2)</f>
        <v>1259439.6000000001</v>
      </c>
      <c r="E58" s="110">
        <f>ROUND(E57*12,2)</f>
        <v>2805075.48</v>
      </c>
      <c r="F58" s="111">
        <f>ROUND(E58/D58,7)</f>
        <v>2.2272409999999998</v>
      </c>
      <c r="G58" s="112"/>
      <c r="H58" s="112"/>
      <c r="I58" s="110">
        <f>SUM(I44:I56)</f>
        <v>2805075.48</v>
      </c>
      <c r="K58" s="110">
        <f t="shared" si="9"/>
        <v>8415226.4399999995</v>
      </c>
    </row>
    <row r="59" spans="1:11" x14ac:dyDescent="0.2">
      <c r="D59" s="149"/>
      <c r="E59" s="150"/>
      <c r="F59" s="151"/>
    </row>
    <row r="61" spans="1:11" s="100" customFormat="1" ht="27.75" customHeight="1" x14ac:dyDescent="0.2">
      <c r="A61" s="306" t="s">
        <v>107</v>
      </c>
      <c r="B61" s="307"/>
      <c r="C61" s="307"/>
      <c r="D61" s="307"/>
      <c r="E61" s="307"/>
      <c r="F61" s="307"/>
      <c r="G61" s="307"/>
      <c r="H61" s="307"/>
      <c r="I61" s="308"/>
    </row>
    <row r="62" spans="1:11" ht="15.75" x14ac:dyDescent="0.2">
      <c r="A62" s="107"/>
      <c r="B62" s="108" t="s">
        <v>90</v>
      </c>
      <c r="C62" s="109">
        <f t="shared" ref="C62:H62" si="15">+C20-C57</f>
        <v>24</v>
      </c>
      <c r="D62" s="110">
        <f t="shared" si="15"/>
        <v>92664.630000000048</v>
      </c>
      <c r="E62" s="110">
        <f t="shared" si="15"/>
        <v>207230.26999999996</v>
      </c>
      <c r="F62" s="111">
        <f t="shared" si="15"/>
        <v>4.2699000000001597E-3</v>
      </c>
      <c r="G62" s="111">
        <f t="shared" si="15"/>
        <v>6.3206035384970605E-3</v>
      </c>
      <c r="H62" s="110">
        <f t="shared" si="15"/>
        <v>207230.27</v>
      </c>
      <c r="I62" s="112"/>
      <c r="K62" s="112"/>
    </row>
    <row r="63" spans="1:11" ht="15.75" x14ac:dyDescent="0.2">
      <c r="A63" s="107"/>
      <c r="B63" s="108" t="s">
        <v>91</v>
      </c>
      <c r="C63" s="112"/>
      <c r="D63" s="110">
        <f>+D21-D58</f>
        <v>1111975.56</v>
      </c>
      <c r="E63" s="110">
        <f>+E21-E58</f>
        <v>2486763.2399999998</v>
      </c>
      <c r="F63" s="111">
        <f>+F21-F58</f>
        <v>4.2699000000001597E-3</v>
      </c>
      <c r="G63" s="112"/>
      <c r="H63" s="112"/>
      <c r="I63" s="110">
        <f>+I21-I58</f>
        <v>2486763.2400000007</v>
      </c>
      <c r="K63" s="110">
        <f>+K21-K58</f>
        <v>7460289.7200000025</v>
      </c>
    </row>
    <row r="64" spans="1:11" ht="15.75" x14ac:dyDescent="0.2">
      <c r="H64" s="128" t="s">
        <v>108</v>
      </c>
      <c r="I64" s="129">
        <f>+I21/I58-1</f>
        <v>0.88652275410428549</v>
      </c>
      <c r="K64" s="129">
        <f>+K21/K58-1</f>
        <v>0.88652275410428572</v>
      </c>
    </row>
    <row r="66" spans="4:4" x14ac:dyDescent="0.2">
      <c r="D66" s="113">
        <f>74/50</f>
        <v>1.48</v>
      </c>
    </row>
    <row r="67" spans="4:4" x14ac:dyDescent="0.2">
      <c r="D67" s="149">
        <f>+I58*D66</f>
        <v>4151511.7103999997</v>
      </c>
    </row>
  </sheetData>
  <mergeCells count="9">
    <mergeCell ref="A31:I31"/>
    <mergeCell ref="A42:I42"/>
    <mergeCell ref="A61:I61"/>
    <mergeCell ref="A2:I2"/>
    <mergeCell ref="A3:I3"/>
    <mergeCell ref="A4:I4"/>
    <mergeCell ref="A22:I22"/>
    <mergeCell ref="A23:I23"/>
    <mergeCell ref="A30:I30"/>
  </mergeCells>
  <printOptions horizontalCentered="1" verticalCentered="1"/>
  <pageMargins left="0.35433070866141736" right="0.15748031496062992" top="0.59055118110236227" bottom="0.3937007874015748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>
    <pageSetUpPr fitToPage="1"/>
  </sheetPr>
  <dimension ref="A1:AX203"/>
  <sheetViews>
    <sheetView zoomScale="55" zoomScaleNormal="55" workbookViewId="0">
      <pane xSplit="10" ySplit="12" topLeftCell="K13" activePane="bottomRight" state="frozen"/>
      <selection activeCell="D25" sqref="D25"/>
      <selection pane="topRight" activeCell="D25" sqref="D25"/>
      <selection pane="bottomLeft" activeCell="D25" sqref="D25"/>
      <selection pane="bottomRight" activeCell="B13" sqref="B13"/>
    </sheetView>
  </sheetViews>
  <sheetFormatPr defaultColWidth="11.42578125" defaultRowHeight="12.75" x14ac:dyDescent="0.2"/>
  <cols>
    <col min="1" max="1" width="10.28515625" style="155" customWidth="1"/>
    <col min="2" max="2" width="67.85546875" style="155" customWidth="1"/>
    <col min="3" max="3" width="12.42578125" style="164" bestFit="1" customWidth="1"/>
    <col min="4" max="4" width="13.28515625" style="155" customWidth="1"/>
    <col min="5" max="5" width="16" style="155" bestFit="1" customWidth="1"/>
    <col min="6" max="6" width="13.28515625" style="155" hidden="1" customWidth="1"/>
    <col min="7" max="10" width="2" style="155" hidden="1" customWidth="1"/>
    <col min="11" max="11" width="15.140625" style="155" bestFit="1" customWidth="1"/>
    <col min="12" max="12" width="18.42578125" style="155" customWidth="1"/>
    <col min="13" max="14" width="15.140625" style="155" customWidth="1"/>
    <col min="15" max="15" width="16.140625" style="155" bestFit="1" customWidth="1"/>
    <col min="16" max="16" width="11" style="155" customWidth="1"/>
    <col min="17" max="17" width="20.140625" style="155" customWidth="1"/>
    <col min="18" max="23" width="11" style="155" customWidth="1"/>
    <col min="24" max="24" width="12.140625" style="155" bestFit="1" customWidth="1"/>
    <col min="25" max="16384" width="11.42578125" style="155"/>
  </cols>
  <sheetData>
    <row r="1" spans="1:50" ht="17.25" customHeight="1" x14ac:dyDescent="0.2">
      <c r="A1" s="153" t="s">
        <v>158</v>
      </c>
      <c r="B1" s="153"/>
      <c r="C1" s="153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</row>
    <row r="2" spans="1:50" x14ac:dyDescent="0.2">
      <c r="A2" s="271" t="str">
        <f>[1]Fontes!A2:G2</f>
        <v>Objeto: Manutenção Ar-Condicionado</v>
      </c>
      <c r="B2" s="271"/>
      <c r="C2" s="156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</row>
    <row r="3" spans="1:50" x14ac:dyDescent="0.2">
      <c r="A3" s="158" t="str">
        <f>[1]Fontes!F3</f>
        <v>Processo: 00200.006886/2017-03</v>
      </c>
      <c r="B3" s="159"/>
      <c r="C3" s="160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</row>
    <row r="4" spans="1:50" ht="13.5" thickBot="1" x14ac:dyDescent="0.25">
      <c r="A4" s="162" t="str">
        <f>[1]Fontes!A3</f>
        <v>Data: Março de 2018</v>
      </c>
      <c r="B4" s="163"/>
      <c r="D4" s="165"/>
      <c r="E4" s="165"/>
      <c r="F4" s="165"/>
      <c r="G4" s="165"/>
      <c r="H4" s="165"/>
      <c r="I4" s="165"/>
      <c r="J4" s="165"/>
      <c r="K4" s="166"/>
      <c r="L4" s="166"/>
      <c r="M4" s="166"/>
      <c r="N4" s="166"/>
      <c r="O4" s="165"/>
      <c r="P4" s="165"/>
      <c r="Q4" s="165"/>
      <c r="R4" s="165"/>
      <c r="S4" s="165"/>
      <c r="T4" s="165"/>
      <c r="U4" s="165"/>
      <c r="V4" s="165"/>
      <c r="W4" s="165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</row>
    <row r="5" spans="1:50" s="170" customFormat="1" ht="13.5" customHeight="1" thickTop="1" x14ac:dyDescent="0.2">
      <c r="A5" s="272" t="s">
        <v>92</v>
      </c>
      <c r="B5" s="272" t="s">
        <v>159</v>
      </c>
      <c r="C5" s="275" t="s">
        <v>160</v>
      </c>
      <c r="D5" s="278" t="s">
        <v>161</v>
      </c>
      <c r="E5" s="281" t="s">
        <v>162</v>
      </c>
      <c r="F5" s="168"/>
      <c r="G5" s="168"/>
      <c r="H5" s="168"/>
      <c r="I5" s="168"/>
      <c r="J5" s="168"/>
      <c r="K5" s="284" t="s">
        <v>163</v>
      </c>
      <c r="L5" s="287" t="s">
        <v>164</v>
      </c>
      <c r="M5" s="287" t="s">
        <v>165</v>
      </c>
      <c r="N5" s="290" t="s">
        <v>166</v>
      </c>
      <c r="O5" s="168"/>
      <c r="P5" s="169" t="s">
        <v>167</v>
      </c>
      <c r="Q5" s="169"/>
      <c r="R5" s="169"/>
      <c r="S5" s="169"/>
      <c r="T5" s="169"/>
      <c r="U5" s="169"/>
      <c r="V5" s="169"/>
      <c r="W5" s="169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</row>
    <row r="6" spans="1:50" s="170" customFormat="1" ht="13.5" customHeight="1" x14ac:dyDescent="0.2">
      <c r="A6" s="273"/>
      <c r="B6" s="273"/>
      <c r="C6" s="276"/>
      <c r="D6" s="279"/>
      <c r="E6" s="282"/>
      <c r="F6" s="171"/>
      <c r="G6" s="171"/>
      <c r="H6" s="171"/>
      <c r="I6" s="171"/>
      <c r="J6" s="171"/>
      <c r="K6" s="285"/>
      <c r="L6" s="288"/>
      <c r="M6" s="288"/>
      <c r="N6" s="291"/>
      <c r="O6" s="293" t="s">
        <v>168</v>
      </c>
      <c r="P6" s="172">
        <v>1</v>
      </c>
      <c r="Q6" s="172">
        <f>P6+1</f>
        <v>2</v>
      </c>
      <c r="R6" s="172">
        <f t="shared" ref="R6:W6" si="0">Q6+1</f>
        <v>3</v>
      </c>
      <c r="S6" s="172">
        <f t="shared" si="0"/>
        <v>4</v>
      </c>
      <c r="T6" s="172">
        <f t="shared" si="0"/>
        <v>5</v>
      </c>
      <c r="U6" s="172">
        <f t="shared" si="0"/>
        <v>6</v>
      </c>
      <c r="V6" s="172">
        <f t="shared" si="0"/>
        <v>7</v>
      </c>
      <c r="W6" s="172">
        <f t="shared" si="0"/>
        <v>8</v>
      </c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</row>
    <row r="7" spans="1:50" s="170" customFormat="1" ht="19.5" customHeight="1" x14ac:dyDescent="0.2">
      <c r="A7" s="273"/>
      <c r="B7" s="273"/>
      <c r="C7" s="276"/>
      <c r="D7" s="279"/>
      <c r="E7" s="282"/>
      <c r="F7" s="171"/>
      <c r="G7" s="171"/>
      <c r="H7" s="171"/>
      <c r="I7" s="171"/>
      <c r="J7" s="171"/>
      <c r="K7" s="285"/>
      <c r="L7" s="288"/>
      <c r="M7" s="288"/>
      <c r="N7" s="291"/>
      <c r="O7" s="294"/>
      <c r="P7" s="269" t="s">
        <v>169</v>
      </c>
      <c r="Q7" s="269" t="s">
        <v>170</v>
      </c>
      <c r="R7" s="269" t="s">
        <v>171</v>
      </c>
      <c r="S7" s="269" t="s">
        <v>172</v>
      </c>
      <c r="T7" s="269" t="s">
        <v>173</v>
      </c>
      <c r="U7" s="269" t="s">
        <v>174</v>
      </c>
      <c r="V7" s="269" t="s">
        <v>175</v>
      </c>
      <c r="W7" s="269" t="s">
        <v>176</v>
      </c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</row>
    <row r="8" spans="1:50" s="174" customFormat="1" ht="39" customHeight="1" thickBot="1" x14ac:dyDescent="0.25">
      <c r="A8" s="274"/>
      <c r="B8" s="274"/>
      <c r="C8" s="277"/>
      <c r="D8" s="280"/>
      <c r="E8" s="283"/>
      <c r="F8" s="173"/>
      <c r="G8" s="173"/>
      <c r="H8" s="173"/>
      <c r="I8" s="173"/>
      <c r="J8" s="173"/>
      <c r="K8" s="286"/>
      <c r="L8" s="289"/>
      <c r="M8" s="289"/>
      <c r="N8" s="292"/>
      <c r="O8" s="282"/>
      <c r="P8" s="270"/>
      <c r="Q8" s="270"/>
      <c r="R8" s="270"/>
      <c r="S8" s="270"/>
      <c r="T8" s="270"/>
      <c r="U8" s="270"/>
      <c r="V8" s="270"/>
      <c r="W8" s="270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</row>
    <row r="9" spans="1:50" s="182" customFormat="1" ht="15.75" x14ac:dyDescent="0.2">
      <c r="A9" s="175"/>
      <c r="B9" s="176"/>
      <c r="C9" s="177"/>
      <c r="D9" s="178"/>
      <c r="E9" s="179"/>
      <c r="F9" s="179"/>
      <c r="G9" s="179"/>
      <c r="H9" s="179"/>
      <c r="I9" s="179"/>
      <c r="J9" s="179"/>
      <c r="K9" s="180"/>
      <c r="L9" s="180"/>
      <c r="M9" s="180"/>
      <c r="N9" s="180"/>
      <c r="O9" s="179"/>
      <c r="P9" s="181">
        <f t="shared" ref="P9:W9" si="1">COUNT(P12:P44)</f>
        <v>12</v>
      </c>
      <c r="Q9" s="181">
        <f t="shared" si="1"/>
        <v>12</v>
      </c>
      <c r="R9" s="181">
        <f t="shared" si="1"/>
        <v>6</v>
      </c>
      <c r="S9" s="181">
        <f t="shared" si="1"/>
        <v>6</v>
      </c>
      <c r="T9" s="181">
        <f t="shared" si="1"/>
        <v>6</v>
      </c>
      <c r="U9" s="181">
        <f t="shared" si="1"/>
        <v>12</v>
      </c>
      <c r="V9" s="181">
        <f t="shared" si="1"/>
        <v>12</v>
      </c>
      <c r="W9" s="181">
        <f t="shared" si="1"/>
        <v>12</v>
      </c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</row>
    <row r="10" spans="1:50" s="192" customFormat="1" ht="7.5" customHeight="1" thickBot="1" x14ac:dyDescent="0.25">
      <c r="A10" s="183"/>
      <c r="B10" s="184"/>
      <c r="C10" s="185"/>
      <c r="D10" s="186"/>
      <c r="E10" s="187"/>
      <c r="F10" s="187"/>
      <c r="G10" s="187"/>
      <c r="H10" s="187"/>
      <c r="I10" s="187"/>
      <c r="J10" s="187"/>
      <c r="K10" s="188"/>
      <c r="L10" s="189"/>
      <c r="M10" s="189"/>
      <c r="N10" s="190"/>
      <c r="O10" s="187"/>
      <c r="P10" s="191"/>
      <c r="Q10" s="191"/>
      <c r="R10" s="191"/>
      <c r="S10" s="191"/>
      <c r="T10" s="191"/>
      <c r="U10" s="191"/>
      <c r="V10" s="191"/>
      <c r="W10" s="191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</row>
    <row r="11" spans="1:50" s="199" customFormat="1" ht="18.75" x14ac:dyDescent="0.2">
      <c r="A11" s="193" t="s">
        <v>177</v>
      </c>
      <c r="B11" s="194"/>
      <c r="C11" s="194"/>
      <c r="D11" s="194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6"/>
      <c r="W11" s="197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</row>
    <row r="12" spans="1:50" s="206" customFormat="1" ht="24" x14ac:dyDescent="0.2">
      <c r="A12" s="200" t="s">
        <v>178</v>
      </c>
      <c r="B12" s="201" t="s">
        <v>179</v>
      </c>
      <c r="C12" s="202"/>
      <c r="D12" s="202"/>
      <c r="E12" s="202"/>
      <c r="F12" s="202"/>
      <c r="G12" s="202"/>
      <c r="H12" s="202"/>
      <c r="I12" s="202"/>
      <c r="J12" s="202"/>
      <c r="K12" s="203"/>
      <c r="L12" s="202"/>
      <c r="M12" s="202"/>
      <c r="N12" s="204"/>
      <c r="O12" s="202"/>
      <c r="P12" s="202"/>
      <c r="Q12" s="202"/>
      <c r="R12" s="202"/>
      <c r="S12" s="202"/>
      <c r="T12" s="202"/>
      <c r="U12" s="202"/>
      <c r="V12" s="202"/>
      <c r="W12" s="202"/>
      <c r="X12" s="205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</row>
    <row r="13" spans="1:50" s="206" customFormat="1" ht="25.5" x14ac:dyDescent="0.2">
      <c r="A13" s="207" t="s">
        <v>180</v>
      </c>
      <c r="B13" s="208" t="s">
        <v>181</v>
      </c>
      <c r="C13" s="209" t="s">
        <v>182</v>
      </c>
      <c r="D13" s="209">
        <v>24</v>
      </c>
      <c r="E13" s="210">
        <f>IF(ISNUMBER(P13),3,COUNT(P13:W13))</f>
        <v>3</v>
      </c>
      <c r="F13" s="211" t="s">
        <v>183</v>
      </c>
      <c r="G13" s="211">
        <f t="shared" ref="G13:G19" si="2">IF(F13="Ok",IF(ISNUMBER(E13),IF(E13=0,1,0),"-"),"-")</f>
        <v>0</v>
      </c>
      <c r="H13" s="211">
        <f t="shared" ref="H13:H19" si="3">IF(F13="Ok",IF(ISNUMBER(E13),IF(E13=1,1,0),"-"),"-")</f>
        <v>0</v>
      </c>
      <c r="I13" s="211">
        <f t="shared" ref="I13:I19" si="4">IF(F13="Ok",IF(ISNUMBER(E13),IF(E13=2,1,0),"-"),"-")</f>
        <v>0</v>
      </c>
      <c r="J13" s="211">
        <f t="shared" ref="J13:J19" si="5">IF(F13="Ok",IF(ISNUMBER(E13),IF(E13&gt;=3,1,0),"-"),"-")</f>
        <v>1</v>
      </c>
      <c r="K13" s="212">
        <f>IF(E13&gt;0,ROUND(MEDIAN(P13,R13:W13),2),0)</f>
        <v>37.39</v>
      </c>
      <c r="L13" s="213">
        <f>IF(E13&gt;0,ROUND(MEDIAN(Q13,R13:W13),2),0)</f>
        <v>37.39</v>
      </c>
      <c r="M13" s="213" t="s">
        <v>184</v>
      </c>
      <c r="N13" s="214">
        <f>IF(COUNT(P13:W13)&gt;1,STDEV(P13:W13)/AVERAGE(P13:W13),0)</f>
        <v>2.2044112708755864E-2</v>
      </c>
      <c r="O13" s="211" t="s">
        <v>185</v>
      </c>
      <c r="P13" s="209"/>
      <c r="Q13" s="209" t="str">
        <f t="shared" ref="Q13:Q44" si="6">IF(ISNUMBER(P13),P13*0.95,"")</f>
        <v/>
      </c>
      <c r="R13" s="209">
        <v>37.43</v>
      </c>
      <c r="S13" s="209">
        <v>37.39</v>
      </c>
      <c r="T13" s="209">
        <v>36</v>
      </c>
      <c r="U13" s="209"/>
      <c r="V13" s="209"/>
      <c r="W13" s="209"/>
      <c r="X13" s="205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</row>
    <row r="14" spans="1:50" s="206" customFormat="1" ht="25.5" x14ac:dyDescent="0.2">
      <c r="A14" s="207" t="s">
        <v>186</v>
      </c>
      <c r="B14" s="208" t="s">
        <v>187</v>
      </c>
      <c r="C14" s="209" t="s">
        <v>182</v>
      </c>
      <c r="D14" s="209">
        <v>24</v>
      </c>
      <c r="E14" s="210">
        <f t="shared" ref="E14:E15" si="7">IF(ISNUMBER(P14),3,COUNT(P14:W14))</f>
        <v>3</v>
      </c>
      <c r="F14" s="211" t="s">
        <v>183</v>
      </c>
      <c r="G14" s="211">
        <f t="shared" si="2"/>
        <v>0</v>
      </c>
      <c r="H14" s="211">
        <f t="shared" si="3"/>
        <v>0</v>
      </c>
      <c r="I14" s="211">
        <f t="shared" si="4"/>
        <v>0</v>
      </c>
      <c r="J14" s="211">
        <f t="shared" si="5"/>
        <v>1</v>
      </c>
      <c r="K14" s="212">
        <f t="shared" ref="K14:K44" si="8">IF(E14&gt;0,ROUND(MEDIAN(P14,R14:W14),2),0)</f>
        <v>26.79</v>
      </c>
      <c r="L14" s="213">
        <f t="shared" ref="L14:L44" si="9">IF(E14&gt;0,ROUND(MEDIAN(Q14,R14:W14),2),0)</f>
        <v>26.79</v>
      </c>
      <c r="M14" s="213" t="s">
        <v>184</v>
      </c>
      <c r="N14" s="214">
        <f t="shared" ref="N14:N15" si="10">IF(COUNT(P14:W14)&gt;1,STDEV(P14:W14)/AVERAGE(P14:W14),0)</f>
        <v>0.22945617903287013</v>
      </c>
      <c r="O14" s="211" t="s">
        <v>185</v>
      </c>
      <c r="P14" s="209"/>
      <c r="Q14" s="209" t="str">
        <f t="shared" si="6"/>
        <v/>
      </c>
      <c r="R14" s="209">
        <v>38.29</v>
      </c>
      <c r="S14" s="209">
        <v>25.78</v>
      </c>
      <c r="T14" s="209">
        <v>26.79</v>
      </c>
      <c r="U14" s="209"/>
      <c r="V14" s="209"/>
      <c r="W14" s="209"/>
      <c r="X14" s="205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</row>
    <row r="15" spans="1:50" s="206" customFormat="1" ht="25.5" x14ac:dyDescent="0.2">
      <c r="A15" s="207" t="s">
        <v>188</v>
      </c>
      <c r="B15" s="208" t="s">
        <v>189</v>
      </c>
      <c r="C15" s="209" t="s">
        <v>190</v>
      </c>
      <c r="D15" s="209">
        <v>12</v>
      </c>
      <c r="E15" s="210">
        <f t="shared" si="7"/>
        <v>3</v>
      </c>
      <c r="F15" s="211" t="s">
        <v>183</v>
      </c>
      <c r="G15" s="211">
        <f t="shared" si="2"/>
        <v>0</v>
      </c>
      <c r="H15" s="211">
        <f t="shared" si="3"/>
        <v>0</v>
      </c>
      <c r="I15" s="211">
        <f t="shared" si="4"/>
        <v>0</v>
      </c>
      <c r="J15" s="211">
        <f t="shared" si="5"/>
        <v>1</v>
      </c>
      <c r="K15" s="212">
        <f t="shared" si="8"/>
        <v>67.989999999999995</v>
      </c>
      <c r="L15" s="213">
        <f t="shared" si="9"/>
        <v>67.989999999999995</v>
      </c>
      <c r="M15" s="213" t="s">
        <v>184</v>
      </c>
      <c r="N15" s="214">
        <f t="shared" si="10"/>
        <v>0.22571027946742214</v>
      </c>
      <c r="O15" s="211" t="s">
        <v>185</v>
      </c>
      <c r="P15" s="209"/>
      <c r="Q15" s="209" t="str">
        <f t="shared" si="6"/>
        <v/>
      </c>
      <c r="R15" s="209">
        <v>69.5</v>
      </c>
      <c r="S15" s="209">
        <v>45</v>
      </c>
      <c r="T15" s="209">
        <v>67.989999999999995</v>
      </c>
      <c r="U15" s="209"/>
      <c r="V15" s="209"/>
      <c r="W15" s="209"/>
      <c r="X15" s="205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</row>
    <row r="16" spans="1:50" s="206" customFormat="1" x14ac:dyDescent="0.2">
      <c r="A16" s="200" t="s">
        <v>191</v>
      </c>
      <c r="B16" s="201" t="s">
        <v>192</v>
      </c>
      <c r="C16" s="202"/>
      <c r="D16" s="202"/>
      <c r="E16" s="202"/>
      <c r="F16" s="202"/>
      <c r="G16" s="202"/>
      <c r="H16" s="202"/>
      <c r="I16" s="202"/>
      <c r="J16" s="202"/>
      <c r="K16" s="203">
        <f t="shared" si="8"/>
        <v>0</v>
      </c>
      <c r="L16" s="202">
        <f t="shared" si="9"/>
        <v>0</v>
      </c>
      <c r="M16" s="202"/>
      <c r="N16" s="204"/>
      <c r="O16" s="202"/>
      <c r="P16" s="202"/>
      <c r="Q16" s="202" t="str">
        <f t="shared" si="6"/>
        <v/>
      </c>
      <c r="R16" s="202"/>
      <c r="S16" s="202"/>
      <c r="T16" s="202"/>
      <c r="U16" s="202"/>
      <c r="V16" s="202"/>
      <c r="W16" s="202"/>
      <c r="X16" s="205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</row>
    <row r="17" spans="1:50" s="206" customFormat="1" ht="25.5" x14ac:dyDescent="0.2">
      <c r="A17" s="207" t="s">
        <v>193</v>
      </c>
      <c r="B17" s="208" t="s">
        <v>194</v>
      </c>
      <c r="C17" s="209" t="s">
        <v>182</v>
      </c>
      <c r="D17" s="209">
        <v>864</v>
      </c>
      <c r="E17" s="210">
        <f t="shared" ref="E17:E19" si="11">IF(ISNUMBER(P17),3,COUNT(P17:W17))</f>
        <v>3</v>
      </c>
      <c r="F17" s="211" t="s">
        <v>183</v>
      </c>
      <c r="G17" s="211">
        <f t="shared" si="2"/>
        <v>0</v>
      </c>
      <c r="H17" s="211">
        <f t="shared" si="3"/>
        <v>0</v>
      </c>
      <c r="I17" s="211">
        <f t="shared" si="4"/>
        <v>0</v>
      </c>
      <c r="J17" s="211">
        <f t="shared" si="5"/>
        <v>1</v>
      </c>
      <c r="K17" s="212">
        <f t="shared" si="8"/>
        <v>37.39</v>
      </c>
      <c r="L17" s="213">
        <f t="shared" si="9"/>
        <v>37.39</v>
      </c>
      <c r="M17" s="213" t="s">
        <v>184</v>
      </c>
      <c r="N17" s="214">
        <f t="shared" ref="N17:N19" si="12">IF(COUNT(P17:W17)&gt;1,STDEV(P17:W17)/AVERAGE(P17:W17),0)</f>
        <v>2.2044112708755864E-2</v>
      </c>
      <c r="O17" s="211" t="s">
        <v>185</v>
      </c>
      <c r="P17" s="209"/>
      <c r="Q17" s="209" t="str">
        <f t="shared" si="6"/>
        <v/>
      </c>
      <c r="R17" s="209">
        <v>37.43</v>
      </c>
      <c r="S17" s="209">
        <v>37.39</v>
      </c>
      <c r="T17" s="209">
        <v>36</v>
      </c>
      <c r="U17" s="209"/>
      <c r="V17" s="209"/>
      <c r="W17" s="209"/>
      <c r="X17" s="205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</row>
    <row r="18" spans="1:50" s="206" customFormat="1" ht="25.5" x14ac:dyDescent="0.2">
      <c r="A18" s="207" t="s">
        <v>195</v>
      </c>
      <c r="B18" s="208" t="s">
        <v>187</v>
      </c>
      <c r="C18" s="209" t="s">
        <v>182</v>
      </c>
      <c r="D18" s="209">
        <v>864</v>
      </c>
      <c r="E18" s="210">
        <f t="shared" si="11"/>
        <v>3</v>
      </c>
      <c r="F18" s="211" t="s">
        <v>183</v>
      </c>
      <c r="G18" s="211">
        <f t="shared" si="2"/>
        <v>0</v>
      </c>
      <c r="H18" s="211">
        <f t="shared" si="3"/>
        <v>0</v>
      </c>
      <c r="I18" s="211">
        <f t="shared" si="4"/>
        <v>0</v>
      </c>
      <c r="J18" s="211">
        <f t="shared" si="5"/>
        <v>1</v>
      </c>
      <c r="K18" s="212">
        <f t="shared" si="8"/>
        <v>26.79</v>
      </c>
      <c r="L18" s="213">
        <f t="shared" si="9"/>
        <v>26.79</v>
      </c>
      <c r="M18" s="213" t="s">
        <v>184</v>
      </c>
      <c r="N18" s="214">
        <f t="shared" si="12"/>
        <v>0.22945617903287013</v>
      </c>
      <c r="O18" s="211" t="s">
        <v>185</v>
      </c>
      <c r="P18" s="209"/>
      <c r="Q18" s="209" t="str">
        <f t="shared" si="6"/>
        <v/>
      </c>
      <c r="R18" s="209">
        <v>38.29</v>
      </c>
      <c r="S18" s="209">
        <v>25.78</v>
      </c>
      <c r="T18" s="209">
        <v>26.79</v>
      </c>
      <c r="U18" s="209"/>
      <c r="V18" s="209"/>
      <c r="W18" s="209"/>
      <c r="X18" s="205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</row>
    <row r="19" spans="1:50" s="206" customFormat="1" ht="120" x14ac:dyDescent="0.2">
      <c r="A19" s="207" t="s">
        <v>196</v>
      </c>
      <c r="B19" s="208" t="s">
        <v>197</v>
      </c>
      <c r="C19" s="209" t="s">
        <v>190</v>
      </c>
      <c r="D19" s="209">
        <v>432</v>
      </c>
      <c r="E19" s="210">
        <f t="shared" si="11"/>
        <v>3</v>
      </c>
      <c r="F19" s="211" t="s">
        <v>183</v>
      </c>
      <c r="G19" s="211">
        <f t="shared" si="2"/>
        <v>0</v>
      </c>
      <c r="H19" s="211">
        <f t="shared" si="3"/>
        <v>0</v>
      </c>
      <c r="I19" s="211">
        <f t="shared" si="4"/>
        <v>0</v>
      </c>
      <c r="J19" s="211">
        <f t="shared" si="5"/>
        <v>1</v>
      </c>
      <c r="K19" s="212">
        <f t="shared" si="8"/>
        <v>67.989999999999995</v>
      </c>
      <c r="L19" s="213">
        <f t="shared" si="9"/>
        <v>67.989999999999995</v>
      </c>
      <c r="M19" s="213" t="s">
        <v>184</v>
      </c>
      <c r="N19" s="214">
        <f t="shared" si="12"/>
        <v>0.22571027946742214</v>
      </c>
      <c r="O19" s="211" t="s">
        <v>185</v>
      </c>
      <c r="P19" s="209"/>
      <c r="Q19" s="209" t="str">
        <f t="shared" si="6"/>
        <v/>
      </c>
      <c r="R19" s="209">
        <v>69.5</v>
      </c>
      <c r="S19" s="209">
        <v>45</v>
      </c>
      <c r="T19" s="209">
        <v>67.989999999999995</v>
      </c>
      <c r="U19" s="209"/>
      <c r="V19" s="209"/>
      <c r="W19" s="209"/>
      <c r="X19" s="205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</row>
    <row r="20" spans="1:50" s="206" customFormat="1" x14ac:dyDescent="0.2">
      <c r="A20" s="200" t="s">
        <v>198</v>
      </c>
      <c r="B20" s="201" t="s">
        <v>199</v>
      </c>
      <c r="C20" s="202"/>
      <c r="D20" s="202"/>
      <c r="E20" s="202"/>
      <c r="F20" s="202"/>
      <c r="G20" s="202"/>
      <c r="H20" s="202"/>
      <c r="I20" s="202"/>
      <c r="J20" s="202"/>
      <c r="K20" s="203">
        <f t="shared" si="8"/>
        <v>0</v>
      </c>
      <c r="L20" s="202">
        <f t="shared" si="9"/>
        <v>0</v>
      </c>
      <c r="M20" s="202"/>
      <c r="N20" s="204"/>
      <c r="O20" s="202"/>
      <c r="P20" s="202"/>
      <c r="Q20" s="202" t="str">
        <f t="shared" si="6"/>
        <v/>
      </c>
      <c r="R20" s="202"/>
      <c r="S20" s="202"/>
      <c r="T20" s="202"/>
      <c r="U20" s="202"/>
      <c r="V20" s="202"/>
      <c r="W20" s="202"/>
      <c r="X20" s="205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</row>
    <row r="21" spans="1:50" s="206" customFormat="1" ht="84" x14ac:dyDescent="0.2">
      <c r="A21" s="207" t="s">
        <v>200</v>
      </c>
      <c r="B21" s="208" t="s">
        <v>201</v>
      </c>
      <c r="C21" s="209" t="s">
        <v>190</v>
      </c>
      <c r="D21" s="209">
        <v>210</v>
      </c>
      <c r="E21" s="210">
        <f t="shared" ref="E21:E44" si="13">IF(ISNUMBER(P21),3,COUNT(P21:W21))</f>
        <v>3</v>
      </c>
      <c r="F21" s="211" t="s">
        <v>183</v>
      </c>
      <c r="G21" s="211">
        <f t="shared" ref="G21:G44" si="14">IF(F21="Ok",IF(ISNUMBER(E21),IF(E21=0,1,0),"-"),"-")</f>
        <v>0</v>
      </c>
      <c r="H21" s="211">
        <f t="shared" ref="H21:H44" si="15">IF(F21="Ok",IF(ISNUMBER(E21),IF(E21=1,1,0),"-"),"-")</f>
        <v>0</v>
      </c>
      <c r="I21" s="211">
        <f t="shared" ref="I21:I44" si="16">IF(F21="Ok",IF(ISNUMBER(E21),IF(E21=2,1,0),"-"),"-")</f>
        <v>0</v>
      </c>
      <c r="J21" s="211">
        <f t="shared" ref="J21:J44" si="17">IF(F21="Ok",IF(ISNUMBER(E21),IF(E21&gt;=3,1,0),"-"),"-")</f>
        <v>1</v>
      </c>
      <c r="K21" s="212">
        <f t="shared" si="8"/>
        <v>28.22</v>
      </c>
      <c r="L21" s="213">
        <f t="shared" si="9"/>
        <v>26.81</v>
      </c>
      <c r="M21" s="213" t="s">
        <v>184</v>
      </c>
      <c r="N21" s="214">
        <f t="shared" ref="N21:N44" si="18">IF(COUNT(P21:W21)&gt;1,STDEV(P21:W21)/AVERAGE(P21:W21),0)</f>
        <v>3.6261886214694783E-2</v>
      </c>
      <c r="O21" s="211" t="s">
        <v>202</v>
      </c>
      <c r="P21" s="209">
        <v>28.22</v>
      </c>
      <c r="Q21" s="209">
        <f t="shared" si="6"/>
        <v>26.808999999999997</v>
      </c>
      <c r="R21" s="209"/>
      <c r="S21" s="209"/>
      <c r="T21" s="209"/>
      <c r="U21" s="209"/>
      <c r="V21" s="209"/>
      <c r="W21" s="209"/>
      <c r="X21" s="205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</row>
    <row r="22" spans="1:50" s="206" customFormat="1" ht="409.5" x14ac:dyDescent="0.2">
      <c r="A22" s="207" t="s">
        <v>203</v>
      </c>
      <c r="B22" s="208" t="s">
        <v>204</v>
      </c>
      <c r="C22" s="209" t="s">
        <v>182</v>
      </c>
      <c r="D22" s="209">
        <v>72</v>
      </c>
      <c r="E22" s="210">
        <f t="shared" si="13"/>
        <v>3</v>
      </c>
      <c r="F22" s="211" t="s">
        <v>183</v>
      </c>
      <c r="G22" s="211">
        <f t="shared" si="14"/>
        <v>0</v>
      </c>
      <c r="H22" s="211">
        <f t="shared" si="15"/>
        <v>0</v>
      </c>
      <c r="I22" s="211">
        <f t="shared" si="16"/>
        <v>0</v>
      </c>
      <c r="J22" s="211">
        <f t="shared" si="17"/>
        <v>1</v>
      </c>
      <c r="K22" s="212">
        <f t="shared" si="8"/>
        <v>47.04</v>
      </c>
      <c r="L22" s="213">
        <f t="shared" si="9"/>
        <v>44.69</v>
      </c>
      <c r="M22" s="213" t="s">
        <v>184</v>
      </c>
      <c r="N22" s="214">
        <f t="shared" si="18"/>
        <v>3.6261886214694811E-2</v>
      </c>
      <c r="O22" s="211" t="s">
        <v>205</v>
      </c>
      <c r="P22" s="209">
        <v>47.04</v>
      </c>
      <c r="Q22" s="209">
        <f t="shared" si="6"/>
        <v>44.687999999999995</v>
      </c>
      <c r="R22" s="209"/>
      <c r="S22" s="209"/>
      <c r="T22" s="209"/>
      <c r="U22" s="209"/>
      <c r="V22" s="209"/>
      <c r="W22" s="209"/>
      <c r="X22" s="205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</row>
    <row r="23" spans="1:50" s="206" customFormat="1" ht="156" x14ac:dyDescent="0.2">
      <c r="A23" s="207" t="s">
        <v>206</v>
      </c>
      <c r="B23" s="208" t="s">
        <v>207</v>
      </c>
      <c r="C23" s="209" t="s">
        <v>182</v>
      </c>
      <c r="D23" s="209">
        <v>72</v>
      </c>
      <c r="E23" s="210">
        <f t="shared" si="13"/>
        <v>3</v>
      </c>
      <c r="F23" s="211" t="s">
        <v>183</v>
      </c>
      <c r="G23" s="211">
        <f t="shared" si="14"/>
        <v>0</v>
      </c>
      <c r="H23" s="211">
        <f t="shared" si="15"/>
        <v>0</v>
      </c>
      <c r="I23" s="211">
        <f t="shared" si="16"/>
        <v>0</v>
      </c>
      <c r="J23" s="211">
        <f t="shared" si="17"/>
        <v>1</v>
      </c>
      <c r="K23" s="212">
        <f t="shared" si="8"/>
        <v>115.15</v>
      </c>
      <c r="L23" s="213">
        <f t="shared" si="9"/>
        <v>109.39</v>
      </c>
      <c r="M23" s="213" t="s">
        <v>184</v>
      </c>
      <c r="N23" s="214">
        <f t="shared" si="18"/>
        <v>3.626188621469479E-2</v>
      </c>
      <c r="O23" s="211" t="s">
        <v>208</v>
      </c>
      <c r="P23" s="209">
        <v>115.15</v>
      </c>
      <c r="Q23" s="209">
        <f t="shared" si="6"/>
        <v>109.3925</v>
      </c>
      <c r="R23" s="209"/>
      <c r="S23" s="209"/>
      <c r="T23" s="209"/>
      <c r="U23" s="209"/>
      <c r="V23" s="209"/>
      <c r="W23" s="209"/>
      <c r="X23" s="205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</row>
    <row r="24" spans="1:50" s="206" customFormat="1" ht="72" x14ac:dyDescent="0.2">
      <c r="A24" s="207" t="s">
        <v>209</v>
      </c>
      <c r="B24" s="208" t="s">
        <v>210</v>
      </c>
      <c r="C24" s="209" t="s">
        <v>182</v>
      </c>
      <c r="D24" s="209">
        <v>72</v>
      </c>
      <c r="E24" s="210">
        <f t="shared" si="13"/>
        <v>3</v>
      </c>
      <c r="F24" s="211" t="s">
        <v>183</v>
      </c>
      <c r="G24" s="211">
        <f t="shared" si="14"/>
        <v>0</v>
      </c>
      <c r="H24" s="211">
        <f t="shared" si="15"/>
        <v>0</v>
      </c>
      <c r="I24" s="211">
        <f t="shared" si="16"/>
        <v>0</v>
      </c>
      <c r="J24" s="211">
        <f t="shared" si="17"/>
        <v>1</v>
      </c>
      <c r="K24" s="212">
        <f t="shared" si="8"/>
        <v>12.74</v>
      </c>
      <c r="L24" s="213">
        <f t="shared" si="9"/>
        <v>12.1</v>
      </c>
      <c r="M24" s="213" t="s">
        <v>184</v>
      </c>
      <c r="N24" s="214">
        <f t="shared" si="18"/>
        <v>3.6261886214694769E-2</v>
      </c>
      <c r="O24" s="211" t="s">
        <v>211</v>
      </c>
      <c r="P24" s="209">
        <v>12.74</v>
      </c>
      <c r="Q24" s="209">
        <f t="shared" si="6"/>
        <v>12.103</v>
      </c>
      <c r="R24" s="209"/>
      <c r="S24" s="209"/>
      <c r="T24" s="209"/>
      <c r="U24" s="209"/>
      <c r="V24" s="209"/>
      <c r="W24" s="209"/>
      <c r="X24" s="205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</row>
    <row r="25" spans="1:50" s="206" customFormat="1" ht="156" x14ac:dyDescent="0.2">
      <c r="A25" s="207" t="s">
        <v>212</v>
      </c>
      <c r="B25" s="208" t="s">
        <v>213</v>
      </c>
      <c r="C25" s="209" t="s">
        <v>182</v>
      </c>
      <c r="D25" s="209">
        <v>3</v>
      </c>
      <c r="E25" s="210">
        <f t="shared" si="13"/>
        <v>3</v>
      </c>
      <c r="F25" s="211" t="s">
        <v>183</v>
      </c>
      <c r="G25" s="211">
        <f t="shared" si="14"/>
        <v>0</v>
      </c>
      <c r="H25" s="211">
        <f t="shared" si="15"/>
        <v>0</v>
      </c>
      <c r="I25" s="211">
        <f t="shared" si="16"/>
        <v>0</v>
      </c>
      <c r="J25" s="211">
        <f t="shared" si="17"/>
        <v>1</v>
      </c>
      <c r="K25" s="212">
        <f t="shared" si="8"/>
        <v>29.1</v>
      </c>
      <c r="L25" s="213">
        <f t="shared" si="9"/>
        <v>27.65</v>
      </c>
      <c r="M25" s="213" t="s">
        <v>184</v>
      </c>
      <c r="N25" s="214">
        <f t="shared" si="18"/>
        <v>3.6261886214694783E-2</v>
      </c>
      <c r="O25" s="211" t="s">
        <v>214</v>
      </c>
      <c r="P25" s="209">
        <v>29.1</v>
      </c>
      <c r="Q25" s="209">
        <f t="shared" si="6"/>
        <v>27.645</v>
      </c>
      <c r="R25" s="209"/>
      <c r="S25" s="209"/>
      <c r="T25" s="209"/>
      <c r="U25" s="209"/>
      <c r="V25" s="209"/>
      <c r="W25" s="209"/>
      <c r="X25" s="205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</row>
    <row r="26" spans="1:50" s="206" customFormat="1" ht="84" x14ac:dyDescent="0.2">
      <c r="A26" s="207" t="s">
        <v>215</v>
      </c>
      <c r="B26" s="208" t="s">
        <v>216</v>
      </c>
      <c r="C26" s="209" t="s">
        <v>182</v>
      </c>
      <c r="D26" s="209">
        <v>70</v>
      </c>
      <c r="E26" s="210">
        <f t="shared" si="13"/>
        <v>3</v>
      </c>
      <c r="F26" s="211" t="s">
        <v>183</v>
      </c>
      <c r="G26" s="211">
        <f t="shared" si="14"/>
        <v>0</v>
      </c>
      <c r="H26" s="211">
        <f t="shared" si="15"/>
        <v>0</v>
      </c>
      <c r="I26" s="211">
        <f t="shared" si="16"/>
        <v>0</v>
      </c>
      <c r="J26" s="211">
        <f t="shared" si="17"/>
        <v>1</v>
      </c>
      <c r="K26" s="212">
        <f t="shared" si="8"/>
        <v>8.9499999999999993</v>
      </c>
      <c r="L26" s="213">
        <f t="shared" si="9"/>
        <v>8.9499999999999993</v>
      </c>
      <c r="M26" s="213" t="s">
        <v>184</v>
      </c>
      <c r="N26" s="214">
        <f t="shared" si="18"/>
        <v>0.23717571328329878</v>
      </c>
      <c r="O26" s="211" t="s">
        <v>185</v>
      </c>
      <c r="P26" s="209"/>
      <c r="Q26" s="209" t="str">
        <f t="shared" si="6"/>
        <v/>
      </c>
      <c r="R26" s="209"/>
      <c r="S26" s="209"/>
      <c r="T26" s="209"/>
      <c r="U26" s="209">
        <v>13.21</v>
      </c>
      <c r="V26" s="209">
        <v>8.9499999999999993</v>
      </c>
      <c r="W26" s="209">
        <v>8.9499999999999993</v>
      </c>
      <c r="X26" s="205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</row>
    <row r="27" spans="1:50" s="206" customFormat="1" ht="84" x14ac:dyDescent="0.2">
      <c r="A27" s="207" t="s">
        <v>217</v>
      </c>
      <c r="B27" s="208" t="s">
        <v>218</v>
      </c>
      <c r="C27" s="209" t="s">
        <v>182</v>
      </c>
      <c r="D27" s="209">
        <v>72</v>
      </c>
      <c r="E27" s="210">
        <f t="shared" si="13"/>
        <v>3</v>
      </c>
      <c r="F27" s="211" t="s">
        <v>183</v>
      </c>
      <c r="G27" s="211">
        <f t="shared" si="14"/>
        <v>0</v>
      </c>
      <c r="H27" s="211">
        <f t="shared" si="15"/>
        <v>0</v>
      </c>
      <c r="I27" s="211">
        <f t="shared" si="16"/>
        <v>0</v>
      </c>
      <c r="J27" s="211">
        <f t="shared" si="17"/>
        <v>1</v>
      </c>
      <c r="K27" s="212">
        <f t="shared" si="8"/>
        <v>3.82</v>
      </c>
      <c r="L27" s="213">
        <f t="shared" si="9"/>
        <v>3.63</v>
      </c>
      <c r="M27" s="213" t="s">
        <v>184</v>
      </c>
      <c r="N27" s="214">
        <f t="shared" si="18"/>
        <v>3.6261886214694804E-2</v>
      </c>
      <c r="O27" s="211" t="s">
        <v>219</v>
      </c>
      <c r="P27" s="209">
        <v>3.82</v>
      </c>
      <c r="Q27" s="209">
        <f t="shared" si="6"/>
        <v>3.6289999999999996</v>
      </c>
      <c r="R27" s="209"/>
      <c r="S27" s="209"/>
      <c r="T27" s="209"/>
      <c r="U27" s="209"/>
      <c r="V27" s="209"/>
      <c r="W27" s="209"/>
      <c r="X27" s="205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</row>
    <row r="28" spans="1:50" s="206" customFormat="1" ht="84" x14ac:dyDescent="0.2">
      <c r="A28" s="207" t="s">
        <v>220</v>
      </c>
      <c r="B28" s="208" t="s">
        <v>221</v>
      </c>
      <c r="C28" s="209" t="s">
        <v>182</v>
      </c>
      <c r="D28" s="209">
        <v>70</v>
      </c>
      <c r="E28" s="210">
        <f t="shared" si="13"/>
        <v>3</v>
      </c>
      <c r="F28" s="211" t="s">
        <v>183</v>
      </c>
      <c r="G28" s="211">
        <f t="shared" si="14"/>
        <v>0</v>
      </c>
      <c r="H28" s="211">
        <f t="shared" si="15"/>
        <v>0</v>
      </c>
      <c r="I28" s="211">
        <f t="shared" si="16"/>
        <v>0</v>
      </c>
      <c r="J28" s="211">
        <f t="shared" si="17"/>
        <v>1</v>
      </c>
      <c r="K28" s="212">
        <f t="shared" si="8"/>
        <v>210</v>
      </c>
      <c r="L28" s="213">
        <f t="shared" si="9"/>
        <v>210</v>
      </c>
      <c r="M28" s="213" t="s">
        <v>184</v>
      </c>
      <c r="N28" s="214">
        <f t="shared" si="18"/>
        <v>0.17442503185886046</v>
      </c>
      <c r="O28" s="211" t="s">
        <v>185</v>
      </c>
      <c r="P28" s="209"/>
      <c r="Q28" s="209" t="str">
        <f t="shared" si="6"/>
        <v/>
      </c>
      <c r="R28" s="209"/>
      <c r="S28" s="209"/>
      <c r="T28" s="209"/>
      <c r="U28" s="209">
        <v>215.89</v>
      </c>
      <c r="V28" s="209">
        <v>154.69999999999999</v>
      </c>
      <c r="W28" s="209">
        <v>210</v>
      </c>
      <c r="X28" s="205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</row>
    <row r="29" spans="1:50" s="206" customFormat="1" ht="120" x14ac:dyDescent="0.2">
      <c r="A29" s="207" t="s">
        <v>222</v>
      </c>
      <c r="B29" s="208" t="s">
        <v>223</v>
      </c>
      <c r="C29" s="209" t="s">
        <v>182</v>
      </c>
      <c r="D29" s="209">
        <v>30</v>
      </c>
      <c r="E29" s="210">
        <f t="shared" si="13"/>
        <v>3</v>
      </c>
      <c r="F29" s="211" t="s">
        <v>183</v>
      </c>
      <c r="G29" s="211">
        <f t="shared" si="14"/>
        <v>0</v>
      </c>
      <c r="H29" s="211">
        <f t="shared" si="15"/>
        <v>0</v>
      </c>
      <c r="I29" s="211">
        <f t="shared" si="16"/>
        <v>0</v>
      </c>
      <c r="J29" s="211">
        <f t="shared" si="17"/>
        <v>1</v>
      </c>
      <c r="K29" s="212">
        <f t="shared" si="8"/>
        <v>20.09</v>
      </c>
      <c r="L29" s="213">
        <f t="shared" si="9"/>
        <v>19.09</v>
      </c>
      <c r="M29" s="213" t="s">
        <v>184</v>
      </c>
      <c r="N29" s="214">
        <f t="shared" si="18"/>
        <v>3.6261886214694748E-2</v>
      </c>
      <c r="O29" s="211" t="s">
        <v>224</v>
      </c>
      <c r="P29" s="209">
        <v>20.09</v>
      </c>
      <c r="Q29" s="209">
        <f t="shared" si="6"/>
        <v>19.0855</v>
      </c>
      <c r="R29" s="209"/>
      <c r="S29" s="209"/>
      <c r="T29" s="209"/>
      <c r="U29" s="209"/>
      <c r="V29" s="209"/>
      <c r="W29" s="209"/>
      <c r="X29" s="205"/>
      <c r="Y29" s="167"/>
      <c r="Z29" s="167"/>
      <c r="AA29" s="167"/>
      <c r="AB29" s="167"/>
      <c r="AC29" s="167"/>
      <c r="AD29" s="167"/>
      <c r="AE29" s="167"/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</row>
    <row r="30" spans="1:50" s="206" customFormat="1" ht="84" x14ac:dyDescent="0.2">
      <c r="A30" s="207" t="s">
        <v>225</v>
      </c>
      <c r="B30" s="208" t="s">
        <v>226</v>
      </c>
      <c r="C30" s="209" t="s">
        <v>227</v>
      </c>
      <c r="D30" s="209">
        <v>1500</v>
      </c>
      <c r="E30" s="210">
        <f t="shared" si="13"/>
        <v>3</v>
      </c>
      <c r="F30" s="211" t="s">
        <v>183</v>
      </c>
      <c r="G30" s="211">
        <f t="shared" si="14"/>
        <v>0</v>
      </c>
      <c r="H30" s="211">
        <f t="shared" si="15"/>
        <v>0</v>
      </c>
      <c r="I30" s="211">
        <f t="shared" si="16"/>
        <v>0</v>
      </c>
      <c r="J30" s="211">
        <f t="shared" si="17"/>
        <v>1</v>
      </c>
      <c r="K30" s="212">
        <f t="shared" si="8"/>
        <v>1.47</v>
      </c>
      <c r="L30" s="213">
        <f t="shared" si="9"/>
        <v>1.4</v>
      </c>
      <c r="M30" s="213" t="s">
        <v>184</v>
      </c>
      <c r="N30" s="214">
        <f t="shared" si="18"/>
        <v>3.6261886214694811E-2</v>
      </c>
      <c r="O30" s="211" t="s">
        <v>228</v>
      </c>
      <c r="P30" s="209">
        <v>1.47</v>
      </c>
      <c r="Q30" s="209">
        <f t="shared" si="6"/>
        <v>1.3964999999999999</v>
      </c>
      <c r="R30" s="209"/>
      <c r="S30" s="209"/>
      <c r="T30" s="209"/>
      <c r="U30" s="209"/>
      <c r="V30" s="209"/>
      <c r="W30" s="209"/>
      <c r="X30" s="205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</row>
    <row r="31" spans="1:50" s="206" customFormat="1" ht="324" x14ac:dyDescent="0.2">
      <c r="A31" s="207" t="s">
        <v>229</v>
      </c>
      <c r="B31" s="208" t="s">
        <v>230</v>
      </c>
      <c r="C31" s="209" t="s">
        <v>182</v>
      </c>
      <c r="D31" s="209">
        <v>72</v>
      </c>
      <c r="E31" s="210">
        <f t="shared" si="13"/>
        <v>3</v>
      </c>
      <c r="F31" s="211" t="s">
        <v>183</v>
      </c>
      <c r="G31" s="211">
        <f t="shared" si="14"/>
        <v>0</v>
      </c>
      <c r="H31" s="211">
        <f t="shared" si="15"/>
        <v>0</v>
      </c>
      <c r="I31" s="211">
        <f t="shared" si="16"/>
        <v>0</v>
      </c>
      <c r="J31" s="211">
        <f t="shared" si="17"/>
        <v>1</v>
      </c>
      <c r="K31" s="212">
        <f t="shared" si="8"/>
        <v>9.8000000000000007</v>
      </c>
      <c r="L31" s="213">
        <f t="shared" si="9"/>
        <v>9.31</v>
      </c>
      <c r="M31" s="213" t="s">
        <v>184</v>
      </c>
      <c r="N31" s="214">
        <f t="shared" si="18"/>
        <v>3.6261886214694762E-2</v>
      </c>
      <c r="O31" s="211" t="s">
        <v>231</v>
      </c>
      <c r="P31" s="209">
        <v>9.8000000000000007</v>
      </c>
      <c r="Q31" s="209">
        <f t="shared" si="6"/>
        <v>9.31</v>
      </c>
      <c r="R31" s="209"/>
      <c r="S31" s="209"/>
      <c r="T31" s="209"/>
      <c r="U31" s="209"/>
      <c r="V31" s="209"/>
      <c r="W31" s="209"/>
      <c r="X31" s="205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</row>
    <row r="32" spans="1:50" s="206" customFormat="1" ht="48" x14ac:dyDescent="0.2">
      <c r="A32" s="207" t="s">
        <v>232</v>
      </c>
      <c r="B32" s="208" t="s">
        <v>233</v>
      </c>
      <c r="C32" s="209" t="s">
        <v>190</v>
      </c>
      <c r="D32" s="209">
        <v>210</v>
      </c>
      <c r="E32" s="210">
        <f t="shared" si="13"/>
        <v>3</v>
      </c>
      <c r="F32" s="211" t="s">
        <v>183</v>
      </c>
      <c r="G32" s="211">
        <f t="shared" si="14"/>
        <v>0</v>
      </c>
      <c r="H32" s="211">
        <f t="shared" si="15"/>
        <v>0</v>
      </c>
      <c r="I32" s="211">
        <f t="shared" si="16"/>
        <v>0</v>
      </c>
      <c r="J32" s="211">
        <f t="shared" si="17"/>
        <v>1</v>
      </c>
      <c r="K32" s="212">
        <f t="shared" si="8"/>
        <v>153.82</v>
      </c>
      <c r="L32" s="213">
        <f t="shared" si="9"/>
        <v>153.82</v>
      </c>
      <c r="M32" s="213" t="s">
        <v>184</v>
      </c>
      <c r="N32" s="214">
        <f t="shared" si="18"/>
        <v>5.8826485507006435E-2</v>
      </c>
      <c r="O32" s="211" t="s">
        <v>185</v>
      </c>
      <c r="P32" s="209"/>
      <c r="Q32" s="209" t="str">
        <f t="shared" si="6"/>
        <v/>
      </c>
      <c r="R32" s="209"/>
      <c r="S32" s="209"/>
      <c r="T32" s="209"/>
      <c r="U32" s="209">
        <v>151.91</v>
      </c>
      <c r="V32" s="209">
        <v>153.82</v>
      </c>
      <c r="W32" s="209">
        <v>168.9</v>
      </c>
      <c r="X32" s="205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</row>
    <row r="33" spans="1:50" s="206" customFormat="1" ht="120" x14ac:dyDescent="0.2">
      <c r="A33" s="207" t="s">
        <v>234</v>
      </c>
      <c r="B33" s="208" t="s">
        <v>235</v>
      </c>
      <c r="C33" s="209" t="s">
        <v>190</v>
      </c>
      <c r="D33" s="209">
        <v>6</v>
      </c>
      <c r="E33" s="210">
        <f t="shared" si="13"/>
        <v>3</v>
      </c>
      <c r="F33" s="211" t="s">
        <v>183</v>
      </c>
      <c r="G33" s="211">
        <f t="shared" si="14"/>
        <v>0</v>
      </c>
      <c r="H33" s="211">
        <f t="shared" si="15"/>
        <v>0</v>
      </c>
      <c r="I33" s="211">
        <f t="shared" si="16"/>
        <v>0</v>
      </c>
      <c r="J33" s="211">
        <f t="shared" si="17"/>
        <v>1</v>
      </c>
      <c r="K33" s="212">
        <f t="shared" si="8"/>
        <v>8.82</v>
      </c>
      <c r="L33" s="213">
        <f t="shared" si="9"/>
        <v>8.3800000000000008</v>
      </c>
      <c r="M33" s="213" t="s">
        <v>184</v>
      </c>
      <c r="N33" s="214">
        <f t="shared" si="18"/>
        <v>3.6261886214694804E-2</v>
      </c>
      <c r="O33" s="211" t="s">
        <v>236</v>
      </c>
      <c r="P33" s="209">
        <v>8.82</v>
      </c>
      <c r="Q33" s="209">
        <f t="shared" si="6"/>
        <v>8.3789999999999996</v>
      </c>
      <c r="R33" s="209"/>
      <c r="S33" s="209"/>
      <c r="T33" s="209"/>
      <c r="U33" s="209"/>
      <c r="V33" s="209"/>
      <c r="W33" s="209"/>
      <c r="X33" s="205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</row>
    <row r="34" spans="1:50" s="206" customFormat="1" x14ac:dyDescent="0.2">
      <c r="A34" s="207" t="s">
        <v>237</v>
      </c>
      <c r="B34" s="208" t="s">
        <v>238</v>
      </c>
      <c r="C34" s="209" t="s">
        <v>190</v>
      </c>
      <c r="D34" s="209">
        <v>140</v>
      </c>
      <c r="E34" s="210">
        <f t="shared" si="13"/>
        <v>3</v>
      </c>
      <c r="F34" s="211" t="s">
        <v>183</v>
      </c>
      <c r="G34" s="211">
        <f t="shared" si="14"/>
        <v>0</v>
      </c>
      <c r="H34" s="211">
        <f t="shared" si="15"/>
        <v>0</v>
      </c>
      <c r="I34" s="211">
        <f t="shared" si="16"/>
        <v>0</v>
      </c>
      <c r="J34" s="211">
        <f t="shared" si="17"/>
        <v>1</v>
      </c>
      <c r="K34" s="212">
        <f t="shared" si="8"/>
        <v>9.09</v>
      </c>
      <c r="L34" s="213">
        <f t="shared" si="9"/>
        <v>8.64</v>
      </c>
      <c r="M34" s="213" t="s">
        <v>184</v>
      </c>
      <c r="N34" s="214">
        <f t="shared" si="18"/>
        <v>3.6261886214694852E-2</v>
      </c>
      <c r="O34" s="211" t="s">
        <v>236</v>
      </c>
      <c r="P34" s="209">
        <v>9.09</v>
      </c>
      <c r="Q34" s="209">
        <f t="shared" si="6"/>
        <v>8.6354999999999986</v>
      </c>
      <c r="R34" s="209"/>
      <c r="S34" s="209"/>
      <c r="T34" s="209"/>
      <c r="U34" s="209"/>
      <c r="V34" s="209"/>
      <c r="W34" s="209"/>
      <c r="X34" s="205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</row>
    <row r="35" spans="1:50" s="206" customFormat="1" x14ac:dyDescent="0.2">
      <c r="A35" s="207" t="s">
        <v>239</v>
      </c>
      <c r="B35" s="208" t="s">
        <v>240</v>
      </c>
      <c r="C35" s="209" t="s">
        <v>190</v>
      </c>
      <c r="D35" s="209">
        <v>1500</v>
      </c>
      <c r="E35" s="210">
        <f t="shared" si="13"/>
        <v>3</v>
      </c>
      <c r="F35" s="211" t="s">
        <v>183</v>
      </c>
      <c r="G35" s="211">
        <f t="shared" si="14"/>
        <v>0</v>
      </c>
      <c r="H35" s="211">
        <f t="shared" si="15"/>
        <v>0</v>
      </c>
      <c r="I35" s="211">
        <f t="shared" si="16"/>
        <v>0</v>
      </c>
      <c r="J35" s="211">
        <f t="shared" si="17"/>
        <v>1</v>
      </c>
      <c r="K35" s="212">
        <f t="shared" si="8"/>
        <v>2.9</v>
      </c>
      <c r="L35" s="213">
        <f t="shared" si="9"/>
        <v>2.9</v>
      </c>
      <c r="M35" s="213" t="s">
        <v>184</v>
      </c>
      <c r="N35" s="214">
        <f t="shared" si="18"/>
        <v>0.16230355719373846</v>
      </c>
      <c r="O35" s="211" t="s">
        <v>185</v>
      </c>
      <c r="P35" s="209"/>
      <c r="Q35" s="209" t="str">
        <f t="shared" si="6"/>
        <v/>
      </c>
      <c r="R35" s="209"/>
      <c r="S35" s="209"/>
      <c r="T35" s="209"/>
      <c r="U35" s="209">
        <v>2.2999999999999998</v>
      </c>
      <c r="V35" s="209">
        <v>2.9</v>
      </c>
      <c r="W35" s="209">
        <v>3.19</v>
      </c>
      <c r="X35" s="205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</row>
    <row r="36" spans="1:50" s="206" customFormat="1" x14ac:dyDescent="0.2">
      <c r="A36" s="207" t="s">
        <v>241</v>
      </c>
      <c r="B36" s="208" t="s">
        <v>242</v>
      </c>
      <c r="C36" s="209" t="s">
        <v>190</v>
      </c>
      <c r="D36" s="209">
        <v>750</v>
      </c>
      <c r="E36" s="210">
        <f t="shared" si="13"/>
        <v>3</v>
      </c>
      <c r="F36" s="211" t="s">
        <v>183</v>
      </c>
      <c r="G36" s="211">
        <f t="shared" si="14"/>
        <v>0</v>
      </c>
      <c r="H36" s="211">
        <f t="shared" si="15"/>
        <v>0</v>
      </c>
      <c r="I36" s="211">
        <f t="shared" si="16"/>
        <v>0</v>
      </c>
      <c r="J36" s="211">
        <f t="shared" si="17"/>
        <v>1</v>
      </c>
      <c r="K36" s="212">
        <f t="shared" si="8"/>
        <v>7.19</v>
      </c>
      <c r="L36" s="213">
        <f t="shared" si="9"/>
        <v>7.19</v>
      </c>
      <c r="M36" s="213" t="s">
        <v>184</v>
      </c>
      <c r="N36" s="214">
        <f t="shared" si="18"/>
        <v>0.23160235865936915</v>
      </c>
      <c r="O36" s="211" t="s">
        <v>185</v>
      </c>
      <c r="P36" s="209"/>
      <c r="Q36" s="209" t="str">
        <f t="shared" si="6"/>
        <v/>
      </c>
      <c r="R36" s="209"/>
      <c r="S36" s="209"/>
      <c r="T36" s="209"/>
      <c r="U36" s="209">
        <v>7.19</v>
      </c>
      <c r="V36" s="209">
        <v>6.98</v>
      </c>
      <c r="W36" s="209">
        <v>10.36</v>
      </c>
      <c r="X36" s="205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</row>
    <row r="37" spans="1:50" s="206" customFormat="1" x14ac:dyDescent="0.2">
      <c r="A37" s="207" t="s">
        <v>243</v>
      </c>
      <c r="B37" s="208" t="s">
        <v>244</v>
      </c>
      <c r="C37" s="209" t="s">
        <v>190</v>
      </c>
      <c r="D37" s="209">
        <v>72</v>
      </c>
      <c r="E37" s="210">
        <f t="shared" si="13"/>
        <v>3</v>
      </c>
      <c r="F37" s="211" t="s">
        <v>183</v>
      </c>
      <c r="G37" s="211">
        <f t="shared" si="14"/>
        <v>0</v>
      </c>
      <c r="H37" s="211">
        <f t="shared" si="15"/>
        <v>0</v>
      </c>
      <c r="I37" s="211">
        <f t="shared" si="16"/>
        <v>0</v>
      </c>
      <c r="J37" s="211">
        <f t="shared" si="17"/>
        <v>1</v>
      </c>
      <c r="K37" s="212">
        <f t="shared" si="8"/>
        <v>1.78</v>
      </c>
      <c r="L37" s="213">
        <f t="shared" si="9"/>
        <v>1.78</v>
      </c>
      <c r="M37" s="213" t="s">
        <v>184</v>
      </c>
      <c r="N37" s="214">
        <f t="shared" si="18"/>
        <v>8.0926983474497158E-2</v>
      </c>
      <c r="O37" s="211" t="s">
        <v>185</v>
      </c>
      <c r="P37" s="209"/>
      <c r="Q37" s="209" t="str">
        <f t="shared" si="6"/>
        <v/>
      </c>
      <c r="R37" s="209"/>
      <c r="S37" s="209"/>
      <c r="T37" s="209"/>
      <c r="U37" s="209">
        <v>1.6</v>
      </c>
      <c r="V37" s="209">
        <v>1.78</v>
      </c>
      <c r="W37" s="209">
        <v>1.88</v>
      </c>
      <c r="X37" s="205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</row>
    <row r="38" spans="1:50" s="206" customFormat="1" x14ac:dyDescent="0.2">
      <c r="A38" s="207" t="s">
        <v>245</v>
      </c>
      <c r="B38" s="208" t="s">
        <v>246</v>
      </c>
      <c r="C38" s="209" t="s">
        <v>190</v>
      </c>
      <c r="D38" s="209">
        <v>360</v>
      </c>
      <c r="E38" s="210">
        <f t="shared" si="13"/>
        <v>3</v>
      </c>
      <c r="F38" s="211" t="s">
        <v>183</v>
      </c>
      <c r="G38" s="211">
        <f t="shared" si="14"/>
        <v>0</v>
      </c>
      <c r="H38" s="211">
        <f t="shared" si="15"/>
        <v>0</v>
      </c>
      <c r="I38" s="211">
        <f t="shared" si="16"/>
        <v>0</v>
      </c>
      <c r="J38" s="211">
        <f t="shared" si="17"/>
        <v>1</v>
      </c>
      <c r="K38" s="212">
        <f t="shared" si="8"/>
        <v>12.21</v>
      </c>
      <c r="L38" s="213">
        <f t="shared" si="9"/>
        <v>12.21</v>
      </c>
      <c r="M38" s="213" t="s">
        <v>184</v>
      </c>
      <c r="N38" s="214">
        <f t="shared" si="18"/>
        <v>0.21330258102759406</v>
      </c>
      <c r="O38" s="211" t="s">
        <v>185</v>
      </c>
      <c r="P38" s="209"/>
      <c r="Q38" s="209" t="str">
        <f t="shared" si="6"/>
        <v/>
      </c>
      <c r="R38" s="209"/>
      <c r="S38" s="209"/>
      <c r="T38" s="209"/>
      <c r="U38" s="209">
        <v>15.19</v>
      </c>
      <c r="V38" s="209">
        <v>9.9</v>
      </c>
      <c r="W38" s="209">
        <v>12.21</v>
      </c>
      <c r="X38" s="205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</row>
    <row r="39" spans="1:50" s="206" customFormat="1" ht="120" x14ac:dyDescent="0.2">
      <c r="A39" s="207" t="s">
        <v>247</v>
      </c>
      <c r="B39" s="208" t="s">
        <v>248</v>
      </c>
      <c r="C39" s="209" t="s">
        <v>190</v>
      </c>
      <c r="D39" s="209">
        <v>18</v>
      </c>
      <c r="E39" s="210">
        <f t="shared" si="13"/>
        <v>3</v>
      </c>
      <c r="F39" s="211" t="s">
        <v>183</v>
      </c>
      <c r="G39" s="211">
        <f t="shared" si="14"/>
        <v>0</v>
      </c>
      <c r="H39" s="211">
        <f t="shared" si="15"/>
        <v>0</v>
      </c>
      <c r="I39" s="211">
        <f t="shared" si="16"/>
        <v>0</v>
      </c>
      <c r="J39" s="211">
        <f t="shared" si="17"/>
        <v>1</v>
      </c>
      <c r="K39" s="212">
        <f t="shared" si="8"/>
        <v>208.35</v>
      </c>
      <c r="L39" s="213">
        <f t="shared" si="9"/>
        <v>208.35</v>
      </c>
      <c r="M39" s="213" t="s">
        <v>184</v>
      </c>
      <c r="N39" s="214">
        <f t="shared" si="18"/>
        <v>2.1177301371894729E-2</v>
      </c>
      <c r="O39" s="211" t="s">
        <v>185</v>
      </c>
      <c r="P39" s="209"/>
      <c r="Q39" s="209" t="str">
        <f t="shared" si="6"/>
        <v/>
      </c>
      <c r="R39" s="209"/>
      <c r="S39" s="209"/>
      <c r="T39" s="209"/>
      <c r="U39" s="209">
        <v>200.8</v>
      </c>
      <c r="V39" s="209">
        <v>208.35</v>
      </c>
      <c r="W39" s="209">
        <v>208.35</v>
      </c>
      <c r="X39" s="205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</row>
    <row r="40" spans="1:50" s="206" customFormat="1" x14ac:dyDescent="0.2">
      <c r="A40" s="207" t="s">
        <v>249</v>
      </c>
      <c r="B40" s="208" t="s">
        <v>250</v>
      </c>
      <c r="C40" s="209" t="s">
        <v>190</v>
      </c>
      <c r="D40" s="209">
        <v>18</v>
      </c>
      <c r="E40" s="210">
        <f t="shared" si="13"/>
        <v>3</v>
      </c>
      <c r="F40" s="211" t="s">
        <v>183</v>
      </c>
      <c r="G40" s="211">
        <f t="shared" si="14"/>
        <v>0</v>
      </c>
      <c r="H40" s="211">
        <f t="shared" si="15"/>
        <v>0</v>
      </c>
      <c r="I40" s="211">
        <f t="shared" si="16"/>
        <v>0</v>
      </c>
      <c r="J40" s="211">
        <f t="shared" si="17"/>
        <v>1</v>
      </c>
      <c r="K40" s="212">
        <f t="shared" si="8"/>
        <v>20.2</v>
      </c>
      <c r="L40" s="213">
        <f t="shared" si="9"/>
        <v>19.190000000000001</v>
      </c>
      <c r="M40" s="213" t="s">
        <v>184</v>
      </c>
      <c r="N40" s="214">
        <f t="shared" si="18"/>
        <v>3.6261886214694804E-2</v>
      </c>
      <c r="O40" s="211" t="s">
        <v>251</v>
      </c>
      <c r="P40" s="209">
        <v>20.2</v>
      </c>
      <c r="Q40" s="209">
        <f t="shared" si="6"/>
        <v>19.189999999999998</v>
      </c>
      <c r="R40" s="209"/>
      <c r="S40" s="209"/>
      <c r="T40" s="209"/>
      <c r="U40" s="209"/>
      <c r="V40" s="209"/>
      <c r="W40" s="209"/>
      <c r="X40" s="205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</row>
    <row r="41" spans="1:50" s="206" customFormat="1" ht="24" x14ac:dyDescent="0.2">
      <c r="A41" s="207" t="s">
        <v>252</v>
      </c>
      <c r="B41" s="208" t="s">
        <v>253</v>
      </c>
      <c r="C41" s="209" t="s">
        <v>190</v>
      </c>
      <c r="D41" s="209">
        <v>48</v>
      </c>
      <c r="E41" s="210">
        <f t="shared" si="13"/>
        <v>3</v>
      </c>
      <c r="F41" s="211" t="s">
        <v>183</v>
      </c>
      <c r="G41" s="211">
        <f t="shared" si="14"/>
        <v>0</v>
      </c>
      <c r="H41" s="211">
        <f t="shared" si="15"/>
        <v>0</v>
      </c>
      <c r="I41" s="211">
        <f t="shared" si="16"/>
        <v>0</v>
      </c>
      <c r="J41" s="211">
        <f t="shared" si="17"/>
        <v>1</v>
      </c>
      <c r="K41" s="212">
        <f t="shared" si="8"/>
        <v>38.270000000000003</v>
      </c>
      <c r="L41" s="213">
        <f t="shared" si="9"/>
        <v>38.270000000000003</v>
      </c>
      <c r="M41" s="213" t="s">
        <v>184</v>
      </c>
      <c r="N41" s="214">
        <f t="shared" si="18"/>
        <v>6.6147979777504196E-2</v>
      </c>
      <c r="O41" s="211" t="s">
        <v>185</v>
      </c>
      <c r="P41" s="209"/>
      <c r="Q41" s="209" t="str">
        <f t="shared" si="6"/>
        <v/>
      </c>
      <c r="R41" s="209"/>
      <c r="S41" s="209"/>
      <c r="T41" s="209"/>
      <c r="U41" s="209">
        <v>39.9</v>
      </c>
      <c r="V41" s="209">
        <v>38.270000000000003</v>
      </c>
      <c r="W41" s="209">
        <v>35</v>
      </c>
      <c r="X41" s="205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</row>
    <row r="42" spans="1:50" s="206" customFormat="1" x14ac:dyDescent="0.2">
      <c r="A42" s="207" t="s">
        <v>254</v>
      </c>
      <c r="B42" s="208" t="s">
        <v>255</v>
      </c>
      <c r="C42" s="209" t="s">
        <v>182</v>
      </c>
      <c r="D42" s="209">
        <v>210</v>
      </c>
      <c r="E42" s="210">
        <f t="shared" si="13"/>
        <v>3</v>
      </c>
      <c r="F42" s="211" t="s">
        <v>183</v>
      </c>
      <c r="G42" s="211">
        <f t="shared" si="14"/>
        <v>0</v>
      </c>
      <c r="H42" s="211">
        <f t="shared" si="15"/>
        <v>0</v>
      </c>
      <c r="I42" s="211">
        <f t="shared" si="16"/>
        <v>0</v>
      </c>
      <c r="J42" s="211">
        <f t="shared" si="17"/>
        <v>1</v>
      </c>
      <c r="K42" s="212">
        <f t="shared" si="8"/>
        <v>2.0499999999999998</v>
      </c>
      <c r="L42" s="213">
        <f t="shared" si="9"/>
        <v>2.0499999999999998</v>
      </c>
      <c r="M42" s="213" t="s">
        <v>184</v>
      </c>
      <c r="N42" s="214">
        <f t="shared" si="18"/>
        <v>0.36957491221216598</v>
      </c>
      <c r="O42" s="211" t="s">
        <v>185</v>
      </c>
      <c r="P42" s="209"/>
      <c r="Q42" s="209" t="str">
        <f t="shared" si="6"/>
        <v/>
      </c>
      <c r="R42" s="209"/>
      <c r="S42" s="209"/>
      <c r="T42" s="209"/>
      <c r="U42" s="209">
        <v>1.77</v>
      </c>
      <c r="V42" s="209">
        <v>3.44</v>
      </c>
      <c r="W42" s="209">
        <v>2.0499999999999998</v>
      </c>
      <c r="X42" s="205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</row>
    <row r="43" spans="1:50" s="206" customFormat="1" x14ac:dyDescent="0.2">
      <c r="A43" s="207" t="s">
        <v>256</v>
      </c>
      <c r="B43" s="208" t="s">
        <v>257</v>
      </c>
      <c r="C43" s="209" t="s">
        <v>182</v>
      </c>
      <c r="D43" s="209">
        <v>700</v>
      </c>
      <c r="E43" s="210">
        <f t="shared" si="13"/>
        <v>3</v>
      </c>
      <c r="F43" s="211" t="s">
        <v>183</v>
      </c>
      <c r="G43" s="211">
        <f t="shared" si="14"/>
        <v>0</v>
      </c>
      <c r="H43" s="211">
        <f t="shared" si="15"/>
        <v>0</v>
      </c>
      <c r="I43" s="211">
        <f t="shared" si="16"/>
        <v>0</v>
      </c>
      <c r="J43" s="211">
        <f t="shared" si="17"/>
        <v>1</v>
      </c>
      <c r="K43" s="212">
        <f t="shared" si="8"/>
        <v>1.31</v>
      </c>
      <c r="L43" s="213">
        <f t="shared" si="9"/>
        <v>1.31</v>
      </c>
      <c r="M43" s="213" t="s">
        <v>184</v>
      </c>
      <c r="N43" s="214">
        <f t="shared" si="18"/>
        <v>0.2335983341238711</v>
      </c>
      <c r="O43" s="211" t="s">
        <v>185</v>
      </c>
      <c r="P43" s="209"/>
      <c r="Q43" s="209" t="str">
        <f t="shared" si="6"/>
        <v/>
      </c>
      <c r="R43" s="209"/>
      <c r="S43" s="209"/>
      <c r="T43" s="209"/>
      <c r="U43" s="209">
        <v>1.9</v>
      </c>
      <c r="V43" s="209">
        <v>1.28</v>
      </c>
      <c r="W43" s="209">
        <v>1.31</v>
      </c>
      <c r="X43" s="205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</row>
    <row r="44" spans="1:50" s="206" customFormat="1" x14ac:dyDescent="0.2">
      <c r="A44" s="207" t="s">
        <v>258</v>
      </c>
      <c r="B44" s="208" t="s">
        <v>259</v>
      </c>
      <c r="C44" s="209" t="s">
        <v>182</v>
      </c>
      <c r="D44" s="209">
        <v>9</v>
      </c>
      <c r="E44" s="210">
        <f t="shared" si="13"/>
        <v>3</v>
      </c>
      <c r="F44" s="211" t="s">
        <v>183</v>
      </c>
      <c r="G44" s="211">
        <f t="shared" si="14"/>
        <v>0</v>
      </c>
      <c r="H44" s="211">
        <f t="shared" si="15"/>
        <v>0</v>
      </c>
      <c r="I44" s="211">
        <f t="shared" si="16"/>
        <v>0</v>
      </c>
      <c r="J44" s="211">
        <f t="shared" si="17"/>
        <v>1</v>
      </c>
      <c r="K44" s="212">
        <f t="shared" si="8"/>
        <v>25.83</v>
      </c>
      <c r="L44" s="213">
        <f t="shared" si="9"/>
        <v>25.83</v>
      </c>
      <c r="M44" s="213" t="s">
        <v>184</v>
      </c>
      <c r="N44" s="214">
        <f t="shared" si="18"/>
        <v>3.6033024789424731E-2</v>
      </c>
      <c r="O44" s="211" t="s">
        <v>185</v>
      </c>
      <c r="P44" s="209"/>
      <c r="Q44" s="209" t="str">
        <f t="shared" si="6"/>
        <v/>
      </c>
      <c r="R44" s="209"/>
      <c r="S44" s="209"/>
      <c r="T44" s="209"/>
      <c r="U44" s="209">
        <v>25.06</v>
      </c>
      <c r="V44" s="209">
        <v>25.83</v>
      </c>
      <c r="W44" s="209">
        <v>26.92</v>
      </c>
      <c r="X44" s="205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</row>
    <row r="45" spans="1:50" s="217" customFormat="1" x14ac:dyDescent="0.2">
      <c r="A45" s="215"/>
      <c r="B45" s="215"/>
      <c r="C45" s="216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</row>
    <row r="46" spans="1:50" x14ac:dyDescent="0.2">
      <c r="J46" s="192"/>
      <c r="O46" s="192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</row>
    <row r="47" spans="1:50" ht="18" x14ac:dyDescent="0.25">
      <c r="B47" s="218" t="s">
        <v>260</v>
      </c>
      <c r="C47" s="219">
        <f>SUM(G13:G44)</f>
        <v>0</v>
      </c>
      <c r="J47" s="192"/>
      <c r="O47" s="192"/>
    </row>
    <row r="48" spans="1:50" ht="18" x14ac:dyDescent="0.25">
      <c r="B48" s="220" t="s">
        <v>261</v>
      </c>
      <c r="C48" s="221">
        <f>SUM(H13:H44)</f>
        <v>0</v>
      </c>
      <c r="J48" s="192"/>
      <c r="O48" s="192"/>
    </row>
    <row r="49" spans="2:15" ht="18" x14ac:dyDescent="0.25">
      <c r="B49" s="222" t="s">
        <v>262</v>
      </c>
      <c r="C49" s="223">
        <f>SUM(I13:I44)</f>
        <v>0</v>
      </c>
      <c r="J49" s="192"/>
      <c r="O49" s="192"/>
    </row>
    <row r="50" spans="2:15" ht="18" x14ac:dyDescent="0.25">
      <c r="B50" s="224" t="s">
        <v>263</v>
      </c>
      <c r="C50" s="225">
        <f>SUM(J13:J44)</f>
        <v>30</v>
      </c>
      <c r="J50" s="192"/>
      <c r="O50" s="192"/>
    </row>
    <row r="51" spans="2:15" ht="18" x14ac:dyDescent="0.25">
      <c r="B51" s="226" t="s">
        <v>264</v>
      </c>
      <c r="C51" s="227">
        <f>SUM(C47:C50)</f>
        <v>30</v>
      </c>
      <c r="J51" s="192"/>
      <c r="O51" s="192"/>
    </row>
    <row r="52" spans="2:15" x14ac:dyDescent="0.2">
      <c r="J52" s="192"/>
      <c r="O52" s="192"/>
    </row>
    <row r="53" spans="2:15" ht="18" x14ac:dyDescent="0.25">
      <c r="B53" s="226" t="s">
        <v>265</v>
      </c>
      <c r="C53" s="228">
        <f>(C48+C49*2+C50*3)/(C51*3)</f>
        <v>1</v>
      </c>
    </row>
    <row r="202" spans="11:14" x14ac:dyDescent="0.2">
      <c r="K202" s="192"/>
      <c r="L202" s="192"/>
      <c r="M202" s="192"/>
      <c r="N202" s="192"/>
    </row>
    <row r="203" spans="11:14" x14ac:dyDescent="0.2">
      <c r="K203" s="192"/>
      <c r="L203" s="192"/>
      <c r="M203" s="192"/>
      <c r="N203" s="192"/>
    </row>
  </sheetData>
  <protectedRanges>
    <protectedRange sqref="A10:D10 P10:W10" name="COTACOES"/>
    <protectedRange sqref="C12:J12 E16:J16 E20:J20 P14:Q20 O12:Q12 O16 O20 R12:W44 P13" name="COTACOES_3"/>
    <protectedRange sqref="D11:W11 K9:N9" name="COTACOES_2"/>
    <protectedRange sqref="E10:J10 E13:J15 E17:J19 O10 O13:O15 O17:O19 O32 O26 O35:O39 O41:O44" name="COTACOES_1"/>
    <protectedRange sqref="E13:J15 E17:J19 O13:O15 O17:O19 O32 O26 O35:O39 O41:O44" name="COTACOES_1_12_1"/>
    <protectedRange sqref="P21:Q44" name="COTACOES_3_2"/>
    <protectedRange sqref="O33:O34 O21:O25 E21:J44 O27:O31 O40" name="COTACOES_1_2"/>
    <protectedRange sqref="O33:O34 O21:O25 E21:J44 O27:O31 O40" name="COTACOES_1_12_1_2"/>
    <protectedRange sqref="K10:N10 K12:N12 K14:N44 M13:N13" name="COTACOES_4"/>
    <protectedRange sqref="K12:N12 K14:N44 M13:N13" name="COTACOES_1_12"/>
    <protectedRange sqref="Q13" name="COTACOES_8"/>
    <protectedRange sqref="K13" name="COTACOES_11"/>
    <protectedRange sqref="K13" name="COTACOES_1_12_1_2_1"/>
    <protectedRange sqref="L13" name="COTACOES_6"/>
    <protectedRange sqref="L13" name="COTACOES_1_12_3"/>
  </protectedRanges>
  <autoFilter ref="A1:AX203"/>
  <mergeCells count="19">
    <mergeCell ref="P7:P8"/>
    <mergeCell ref="A2:B2"/>
    <mergeCell ref="A5:A8"/>
    <mergeCell ref="B5:B8"/>
    <mergeCell ref="C5:C8"/>
    <mergeCell ref="D5:D8"/>
    <mergeCell ref="E5:E8"/>
    <mergeCell ref="K5:K8"/>
    <mergeCell ref="L5:L8"/>
    <mergeCell ref="M5:M8"/>
    <mergeCell ref="N5:N8"/>
    <mergeCell ref="O6:O8"/>
    <mergeCell ref="W7:W8"/>
    <mergeCell ref="Q7:Q8"/>
    <mergeCell ref="R7:R8"/>
    <mergeCell ref="S7:S8"/>
    <mergeCell ref="T7:T8"/>
    <mergeCell ref="U7:U8"/>
    <mergeCell ref="V7:V8"/>
  </mergeCells>
  <conditionalFormatting sqref="A13:C15 A12:B12 A17:C19 A21:C23 A24:D44">
    <cfRule type="containsBlanks" dxfId="29" priority="53">
      <formula>LEN(TRIM(A12))=0</formula>
    </cfRule>
    <cfRule type="containsBlanks" priority="54">
      <formula>LEN(TRIM(A12))=0</formula>
    </cfRule>
  </conditionalFormatting>
  <conditionalFormatting sqref="D13:D15 D17:D19 D21:D23">
    <cfRule type="containsBlanks" dxfId="28" priority="51">
      <formula>LEN(TRIM(D13))=0</formula>
    </cfRule>
    <cfRule type="containsBlanks" priority="52">
      <formula>LEN(TRIM(D13))=0</formula>
    </cfRule>
  </conditionalFormatting>
  <conditionalFormatting sqref="A16:B16">
    <cfRule type="containsBlanks" dxfId="27" priority="49">
      <formula>LEN(TRIM(A16))=0</formula>
    </cfRule>
    <cfRule type="containsBlanks" priority="50">
      <formula>LEN(TRIM(A16))=0</formula>
    </cfRule>
  </conditionalFormatting>
  <conditionalFormatting sqref="A20:B20">
    <cfRule type="containsBlanks" dxfId="26" priority="47">
      <formula>LEN(TRIM(A20))=0</formula>
    </cfRule>
    <cfRule type="containsBlanks" priority="48">
      <formula>LEN(TRIM(A20))=0</formula>
    </cfRule>
  </conditionalFormatting>
  <conditionalFormatting sqref="F17:F18 E12:F15 E17:E19 E24:F25 E27:F27 E29:F30 E31:E33 F33">
    <cfRule type="colorScale" priority="46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F19">
    <cfRule type="colorScale" priority="45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E16:F16">
    <cfRule type="colorScale" priority="44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E20:F20">
    <cfRule type="colorScale" priority="43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E21:F23">
    <cfRule type="colorScale" priority="42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F32">
    <cfRule type="colorScale" priority="41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F31">
    <cfRule type="colorScale" priority="40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13:N25 N27 N29:N33">
    <cfRule type="cellIs" dxfId="25" priority="38" operator="greaterThan">
      <formula>0.4</formula>
    </cfRule>
    <cfRule type="cellIs" dxfId="24" priority="39" operator="between">
      <formula>0.25</formula>
      <formula>0.4</formula>
    </cfRule>
  </conditionalFormatting>
  <conditionalFormatting sqref="E26:F26">
    <cfRule type="colorScale" priority="37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26">
    <cfRule type="cellIs" dxfId="23" priority="35" operator="greaterThan">
      <formula>0.4</formula>
    </cfRule>
    <cfRule type="cellIs" dxfId="22" priority="36" operator="between">
      <formula>0.25</formula>
      <formula>0.4</formula>
    </cfRule>
  </conditionalFormatting>
  <conditionalFormatting sqref="E28:F28">
    <cfRule type="colorScale" priority="34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28">
    <cfRule type="cellIs" dxfId="21" priority="32" operator="greaterThan">
      <formula>0.4</formula>
    </cfRule>
    <cfRule type="cellIs" dxfId="20" priority="33" operator="between">
      <formula>0.25</formula>
      <formula>0.4</formula>
    </cfRule>
  </conditionalFormatting>
  <conditionalFormatting sqref="E34:F34">
    <cfRule type="colorScale" priority="31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4">
    <cfRule type="cellIs" dxfId="19" priority="29" operator="greaterThan">
      <formula>0.4</formula>
    </cfRule>
    <cfRule type="cellIs" dxfId="18" priority="30" operator="between">
      <formula>0.25</formula>
      <formula>0.4</formula>
    </cfRule>
  </conditionalFormatting>
  <conditionalFormatting sqref="E35:F35">
    <cfRule type="colorScale" priority="28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5">
    <cfRule type="cellIs" dxfId="17" priority="26" operator="greaterThan">
      <formula>0.4</formula>
    </cfRule>
    <cfRule type="cellIs" dxfId="16" priority="27" operator="between">
      <formula>0.25</formula>
      <formula>0.4</formula>
    </cfRule>
  </conditionalFormatting>
  <conditionalFormatting sqref="E36:F36">
    <cfRule type="colorScale" priority="25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6">
    <cfRule type="cellIs" dxfId="15" priority="23" operator="greaterThan">
      <formula>0.4</formula>
    </cfRule>
    <cfRule type="cellIs" dxfId="14" priority="24" operator="between">
      <formula>0.25</formula>
      <formula>0.4</formula>
    </cfRule>
  </conditionalFormatting>
  <conditionalFormatting sqref="E37:F37">
    <cfRule type="colorScale" priority="22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7">
    <cfRule type="cellIs" dxfId="13" priority="20" operator="greaterThan">
      <formula>0.4</formula>
    </cfRule>
    <cfRule type="cellIs" dxfId="12" priority="21" operator="between">
      <formula>0.25</formula>
      <formula>0.4</formula>
    </cfRule>
  </conditionalFormatting>
  <conditionalFormatting sqref="E38:F38">
    <cfRule type="colorScale" priority="19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8">
    <cfRule type="cellIs" dxfId="11" priority="17" operator="greaterThan">
      <formula>0.4</formula>
    </cfRule>
    <cfRule type="cellIs" dxfId="10" priority="18" operator="between">
      <formula>0.25</formula>
      <formula>0.4</formula>
    </cfRule>
  </conditionalFormatting>
  <conditionalFormatting sqref="E39:F39">
    <cfRule type="colorScale" priority="16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9">
    <cfRule type="cellIs" dxfId="9" priority="14" operator="greaterThan">
      <formula>0.4</formula>
    </cfRule>
    <cfRule type="cellIs" dxfId="8" priority="15" operator="between">
      <formula>0.25</formula>
      <formula>0.4</formula>
    </cfRule>
  </conditionalFormatting>
  <conditionalFormatting sqref="E40:F40">
    <cfRule type="colorScale" priority="13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40">
    <cfRule type="cellIs" dxfId="7" priority="11" operator="greaterThan">
      <formula>0.4</formula>
    </cfRule>
    <cfRule type="cellIs" dxfId="6" priority="12" operator="between">
      <formula>0.25</formula>
      <formula>0.4</formula>
    </cfRule>
  </conditionalFormatting>
  <conditionalFormatting sqref="E41:F41">
    <cfRule type="colorScale" priority="10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41">
    <cfRule type="cellIs" dxfId="5" priority="8" operator="greaterThan">
      <formula>0.4</formula>
    </cfRule>
    <cfRule type="cellIs" dxfId="4" priority="9" operator="between">
      <formula>0.25</formula>
      <formula>0.4</formula>
    </cfRule>
  </conditionalFormatting>
  <conditionalFormatting sqref="E42:F42">
    <cfRule type="colorScale" priority="7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E43:F43">
    <cfRule type="colorScale" priority="6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43">
    <cfRule type="cellIs" dxfId="3" priority="4" operator="greaterThan">
      <formula>0.4</formula>
    </cfRule>
    <cfRule type="cellIs" dxfId="2" priority="5" operator="between">
      <formula>0.25</formula>
      <formula>0.4</formula>
    </cfRule>
  </conditionalFormatting>
  <conditionalFormatting sqref="E44:F44">
    <cfRule type="colorScale" priority="3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44">
    <cfRule type="cellIs" dxfId="1" priority="1" operator="greaterThan">
      <formula>0.4</formula>
    </cfRule>
    <cfRule type="cellIs" dxfId="0" priority="2" operator="between">
      <formula>0.25</formula>
      <formula>0.4</formula>
    </cfRule>
  </conditionalFormatting>
  <pageMargins left="0.511811024" right="0.511811024" top="0.78740157499999996" bottom="0.78740157499999996" header="0.31496062000000002" footer="0.31496062000000002"/>
  <pageSetup paperSize="9" scale="2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topLeftCell="A8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142</v>
      </c>
      <c r="C2" s="300"/>
      <c r="D2" s="300"/>
    </row>
    <row r="3" spans="1:4" ht="21" customHeight="1" x14ac:dyDescent="0.2">
      <c r="A3" s="5" t="s">
        <v>2</v>
      </c>
      <c r="B3" s="6" t="s">
        <v>126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7964.5</v>
      </c>
    </row>
    <row r="7" spans="1:4" s="13" customFormat="1" x14ac:dyDescent="0.2">
      <c r="A7" s="299"/>
      <c r="B7" s="16" t="s">
        <v>9</v>
      </c>
      <c r="C7" s="15"/>
      <c r="D7" s="94">
        <f>30%*D6</f>
        <v>2389.35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10353.85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IF(22*2*7.5-6%*D6&lt;0,0,22*2*7.5-6%*D6)</f>
        <v>0</v>
      </c>
    </row>
    <row r="17" spans="1:8" ht="13.5" customHeight="1" x14ac:dyDescent="0.2">
      <c r="A17" s="301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511.32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28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SUMPRODUCT('Uniformes-EPIs'!$D$13:$D$15,'Uniformes-EPIs'!$L$13:$L$15)/36/2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/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32.729999999999997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155.31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103.54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20.71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258.85000000000002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828.31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310.62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62.12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1739.46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862.48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862.48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144.9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1007.38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2.0699999999999998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0.31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2.38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86.3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6.94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41.41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161.06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27.02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331.33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654.05999999999995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287.52999999999997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2.9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1.1599999999999999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2.88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2.16</v>
      </c>
    </row>
    <row r="66" spans="1:4" ht="11.45" customHeight="1" x14ac:dyDescent="0.2">
      <c r="A66" s="299"/>
      <c r="B66" s="18" t="s">
        <v>37</v>
      </c>
      <c r="C66" s="55">
        <f>SUM(C60:C65)</f>
        <v>2.8649399999999998E-2</v>
      </c>
      <c r="D66" s="30">
        <f t="shared" si="2"/>
        <v>296.63</v>
      </c>
    </row>
    <row r="67" spans="1:4" ht="11.45" customHeight="1" x14ac:dyDescent="0.2">
      <c r="A67" s="299"/>
      <c r="B67" s="47" t="s">
        <v>55</v>
      </c>
      <c r="C67" s="55">
        <f>C66*C40</f>
        <v>4.8130992000000004E-3</v>
      </c>
      <c r="D67" s="54">
        <f t="shared" si="2"/>
        <v>49.83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3.3462499199999995E-2</v>
      </c>
      <c r="D68" s="40">
        <f>IF($D$14="","ARRED(SOMA(D71:D72);2)",ROUND(SUM(D66:D67),2))</f>
        <v>346.46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57">
        <v>4</v>
      </c>
      <c r="B70" s="58" t="s">
        <v>57</v>
      </c>
      <c r="C70" s="34"/>
      <c r="D70" s="59"/>
    </row>
    <row r="71" spans="1:4" ht="11.45" customHeight="1" x14ac:dyDescent="0.2">
      <c r="A71" s="57" t="s">
        <v>58</v>
      </c>
      <c r="B71" s="60" t="s">
        <v>59</v>
      </c>
      <c r="C71" s="61">
        <f>C40</f>
        <v>0.16800000000000001</v>
      </c>
      <c r="D71" s="62">
        <f>D40</f>
        <v>1739.46</v>
      </c>
    </row>
    <row r="72" spans="1:4" ht="11.45" customHeight="1" x14ac:dyDescent="0.2">
      <c r="A72" s="57" t="s">
        <v>60</v>
      </c>
      <c r="B72" s="50" t="s">
        <v>61</v>
      </c>
      <c r="C72" s="61">
        <f>C46</f>
        <v>9.7294400000000003E-2</v>
      </c>
      <c r="D72" s="62">
        <f>D46</f>
        <v>1007.38</v>
      </c>
    </row>
    <row r="73" spans="1:4" ht="11.45" customHeight="1" x14ac:dyDescent="0.2">
      <c r="A73" s="57" t="s">
        <v>62</v>
      </c>
      <c r="B73" s="50" t="s">
        <v>63</v>
      </c>
      <c r="C73" s="61">
        <f>C50</f>
        <v>2.3000000000000001E-4</v>
      </c>
      <c r="D73" s="62">
        <f>D50</f>
        <v>2.38</v>
      </c>
    </row>
    <row r="74" spans="1:4" ht="11.45" customHeight="1" x14ac:dyDescent="0.2">
      <c r="A74" s="57" t="s">
        <v>64</v>
      </c>
      <c r="B74" s="50" t="s">
        <v>65</v>
      </c>
      <c r="C74" s="61">
        <f>C58</f>
        <v>6.3170100000000007E-2</v>
      </c>
      <c r="D74" s="62">
        <f>D58</f>
        <v>654.05999999999995</v>
      </c>
    </row>
    <row r="75" spans="1:4" ht="11.45" customHeight="1" x14ac:dyDescent="0.2">
      <c r="A75" s="57" t="s">
        <v>66</v>
      </c>
      <c r="B75" s="50" t="s">
        <v>67</v>
      </c>
      <c r="C75" s="61">
        <f>C68</f>
        <v>3.3462499199999995E-2</v>
      </c>
      <c r="D75" s="62">
        <f>D68</f>
        <v>346.46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0.36215699920000005</v>
      </c>
      <c r="D76" s="64">
        <f>IF($D$14="","SOMA(D76:D80)",SUM(D71:D75))</f>
        <v>3749.7400000000002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14647.64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57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57" t="s">
        <v>70</v>
      </c>
      <c r="B81" s="71" t="s">
        <v>71</v>
      </c>
      <c r="C81" s="72">
        <v>4.4999999999999998E-2</v>
      </c>
      <c r="D81" s="35">
        <f>ROUND(C81*$D$78,2)</f>
        <v>659.14</v>
      </c>
      <c r="E81" s="73"/>
    </row>
    <row r="82" spans="1:7" ht="11.45" customHeight="1" x14ac:dyDescent="0.2">
      <c r="A82" s="57" t="s">
        <v>72</v>
      </c>
      <c r="B82" s="74" t="s">
        <v>73</v>
      </c>
      <c r="C82" s="61">
        <v>4.4999999999999998E-2</v>
      </c>
      <c r="D82" s="35">
        <f>ROUND((D$78+D$81)*C$82,2)</f>
        <v>688.81</v>
      </c>
      <c r="E82" s="75"/>
    </row>
    <row r="83" spans="1:7" ht="11.45" customHeight="1" x14ac:dyDescent="0.2">
      <c r="A83" s="76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324.83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1496.2</v>
      </c>
      <c r="E85" s="73"/>
    </row>
    <row r="86" spans="1:7" ht="11.45" customHeight="1" x14ac:dyDescent="0.2">
      <c r="A86" s="57" t="s">
        <v>79</v>
      </c>
      <c r="B86" s="14" t="s">
        <v>80</v>
      </c>
      <c r="C86" s="79"/>
      <c r="D86" s="77"/>
      <c r="E86" s="73"/>
    </row>
    <row r="87" spans="1:7" x14ac:dyDescent="0.2">
      <c r="A87" s="57" t="s">
        <v>81</v>
      </c>
      <c r="B87" s="14" t="s">
        <v>82</v>
      </c>
      <c r="C87" s="79">
        <v>0.05</v>
      </c>
      <c r="D87" s="77">
        <f t="shared" ref="D87:D88" si="3">ROUND(C87*D$93,2)</f>
        <v>984.34</v>
      </c>
    </row>
    <row r="88" spans="1:7" x14ac:dyDescent="0.2">
      <c r="A88" s="57" t="s">
        <v>83</v>
      </c>
      <c r="B88" s="51" t="s">
        <v>84</v>
      </c>
      <c r="C88" s="79">
        <v>4.4999999999999998E-2</v>
      </c>
      <c r="D88" s="35">
        <f t="shared" si="3"/>
        <v>885.91</v>
      </c>
    </row>
    <row r="89" spans="1:7" x14ac:dyDescent="0.2">
      <c r="A89" s="57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5039.2299999999996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19686.88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D90" sqref="D90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129</v>
      </c>
      <c r="C2" s="300"/>
      <c r="D2" s="300"/>
    </row>
    <row r="3" spans="1:4" ht="21" customHeight="1" x14ac:dyDescent="0.2">
      <c r="A3" s="5" t="s">
        <v>2</v>
      </c>
      <c r="B3" s="145" t="s">
        <v>126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7964.5</v>
      </c>
    </row>
    <row r="7" spans="1:4" s="13" customFormat="1" x14ac:dyDescent="0.2">
      <c r="A7" s="299"/>
      <c r="B7" s="16" t="s">
        <v>9</v>
      </c>
      <c r="C7" s="15"/>
      <c r="D7" s="94">
        <f>30%*D6</f>
        <v>2389.35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10353.85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IF(22*2*7.5-6%*D6&lt;0,0,22*2*7.5-6%*D6)</f>
        <v>0</v>
      </c>
    </row>
    <row r="17" spans="1:8" ht="13.5" customHeight="1" x14ac:dyDescent="0.2">
      <c r="A17" s="301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511.32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SUMPRODUCT('Uniformes-EPIs'!$D$13:$D$15,'Uniformes-EPIs'!$L$13:$L$15)/36/2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/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32.729999999999997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155.31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103.54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20.71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258.85000000000002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828.31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310.62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62.12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1739.46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862.48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862.48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144.9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1007.38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2.0699999999999998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0.31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2.38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86.3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6.94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41.41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161.06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27.02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331.33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654.05999999999995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287.52999999999997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2.9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1.1599999999999999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2.88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2.16</v>
      </c>
    </row>
    <row r="66" spans="1:4" ht="11.45" customHeight="1" x14ac:dyDescent="0.2">
      <c r="A66" s="299"/>
      <c r="B66" s="18" t="s">
        <v>37</v>
      </c>
      <c r="C66" s="55">
        <f>SUM(C60:C65)</f>
        <v>2.8649399999999998E-2</v>
      </c>
      <c r="D66" s="30">
        <f t="shared" si="2"/>
        <v>296.63</v>
      </c>
    </row>
    <row r="67" spans="1:4" ht="11.45" customHeight="1" x14ac:dyDescent="0.2">
      <c r="A67" s="299"/>
      <c r="B67" s="47" t="s">
        <v>55</v>
      </c>
      <c r="C67" s="55">
        <f>C66*C40</f>
        <v>4.8130992000000004E-3</v>
      </c>
      <c r="D67" s="54">
        <f t="shared" si="2"/>
        <v>49.83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3.3462499199999995E-2</v>
      </c>
      <c r="D68" s="40">
        <f>IF($D$14="","ARRED(SOMA(D71:D72);2)",ROUND(SUM(D66:D67),2))</f>
        <v>346.46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1739.46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1007.38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2.38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654.05999999999995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3.3462499199999995E-2</v>
      </c>
      <c r="D75" s="62">
        <f>D68</f>
        <v>346.46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0.36215699920000005</v>
      </c>
      <c r="D76" s="64">
        <f>IF($D$14="","SOMA(D76:D80)",SUM(D71:D75))</f>
        <v>3749.7400000000002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14647.64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659.14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688.81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324.83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1496.2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984.34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885.91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5039.2299999999996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19686.88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/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130</v>
      </c>
      <c r="C2" s="300"/>
      <c r="D2" s="300"/>
    </row>
    <row r="3" spans="1:4" ht="21" customHeight="1" x14ac:dyDescent="0.2">
      <c r="A3" s="5" t="s">
        <v>2</v>
      </c>
      <c r="B3" s="145" t="s">
        <v>127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2952.71</v>
      </c>
    </row>
    <row r="7" spans="1:4" s="13" customFormat="1" x14ac:dyDescent="0.2">
      <c r="A7" s="299"/>
      <c r="B7" s="16" t="s">
        <v>9</v>
      </c>
      <c r="C7" s="15"/>
      <c r="D7" s="94">
        <f>30%*D6</f>
        <v>885.81299999999999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3838.52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IF(22*2*7.5-6%*D6&lt;0,0,22*2*7.5-6%*D6)</f>
        <v>152.8374</v>
      </c>
    </row>
    <row r="17" spans="1:8" ht="13.5" customHeight="1" x14ac:dyDescent="0.2">
      <c r="A17" s="301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664.16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57.58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38.39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7.68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95.96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307.08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115.16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23.03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644.88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319.75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319.75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53.72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373.47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0.77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0.12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0.89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31.99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2.57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15.35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59.71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10.02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122.84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242.48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106.6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1.07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0.43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1.07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0.8</v>
      </c>
    </row>
    <row r="66" spans="1:4" ht="11.45" customHeight="1" x14ac:dyDescent="0.2">
      <c r="A66" s="299"/>
      <c r="B66" s="18" t="s">
        <v>37</v>
      </c>
      <c r="C66" s="55">
        <f>SUM(C60:C65)</f>
        <v>2.8649399999999998E-2</v>
      </c>
      <c r="D66" s="30">
        <f t="shared" si="2"/>
        <v>109.97</v>
      </c>
    </row>
    <row r="67" spans="1:4" ht="11.45" customHeight="1" x14ac:dyDescent="0.2">
      <c r="A67" s="299"/>
      <c r="B67" s="47" t="s">
        <v>55</v>
      </c>
      <c r="C67" s="55">
        <f>C66*C40</f>
        <v>4.8130992000000004E-3</v>
      </c>
      <c r="D67" s="54">
        <f t="shared" si="2"/>
        <v>18.48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3.3462499199999995E-2</v>
      </c>
      <c r="D68" s="40">
        <f>IF($D$14="","ARRED(SOMA(D71:D72);2)",ROUND(SUM(D66:D67),2))</f>
        <v>128.44999999999999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644.88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373.47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0.89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242.48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3.3462499199999995E-2</v>
      </c>
      <c r="D75" s="62">
        <f>D68</f>
        <v>128.44999999999999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0.36215699920000005</v>
      </c>
      <c r="D76" s="64">
        <f>IF($D$14="","SOMA(D76:D80)",SUM(D71:D75))</f>
        <v>1390.17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5961.05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268.25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280.32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132.19999999999999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608.9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400.59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360.53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2050.79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8011.84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/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131</v>
      </c>
      <c r="C2" s="300"/>
      <c r="D2" s="300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2342.15</v>
      </c>
    </row>
    <row r="7" spans="1:4" s="13" customFormat="1" x14ac:dyDescent="0.2">
      <c r="A7" s="299"/>
      <c r="B7" s="16" t="s">
        <v>9</v>
      </c>
      <c r="C7" s="15"/>
      <c r="D7" s="94">
        <f>30%*D6</f>
        <v>702.64499999999998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3044.8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IF(22*2*7.5-6%*D6&lt;0,0,22*2*7.5-6%*D6)</f>
        <v>189.471</v>
      </c>
    </row>
    <row r="17" spans="1:8" ht="13.5" customHeight="1" x14ac:dyDescent="0.2">
      <c r="A17" s="301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700.79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45.67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30.45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6.09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76.12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243.58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91.34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18.27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511.52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253.63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253.63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42.61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296.24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0.61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0.09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0.7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25.38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2.04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12.18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47.36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7.95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97.44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192.35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84.55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0.85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0.34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0.85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0.64</v>
      </c>
    </row>
    <row r="66" spans="1:4" ht="11.45" customHeight="1" x14ac:dyDescent="0.2">
      <c r="A66" s="299"/>
      <c r="B66" s="18" t="s">
        <v>37</v>
      </c>
      <c r="C66" s="55">
        <f>SUM(C60:C65)</f>
        <v>2.8649399999999998E-2</v>
      </c>
      <c r="D66" s="30">
        <f t="shared" si="2"/>
        <v>87.23</v>
      </c>
    </row>
    <row r="67" spans="1:4" ht="11.45" customHeight="1" x14ac:dyDescent="0.2">
      <c r="A67" s="299"/>
      <c r="B67" s="47" t="s">
        <v>55</v>
      </c>
      <c r="C67" s="55">
        <f>C66*C40</f>
        <v>4.8130992000000004E-3</v>
      </c>
      <c r="D67" s="54">
        <f t="shared" si="2"/>
        <v>14.65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3.3462499199999995E-2</v>
      </c>
      <c r="D68" s="40">
        <f>IF($D$14="","ARRED(SOMA(D71:D72);2)",ROUND(SUM(D66:D67),2))</f>
        <v>101.88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511.52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296.24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0.7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192.35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3.3462499199999995E-2</v>
      </c>
      <c r="D75" s="62">
        <f>D68</f>
        <v>101.88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0.36215699920000005</v>
      </c>
      <c r="D76" s="64">
        <f>IF($D$14="","SOMA(D76:D80)",SUM(D71:D75))</f>
        <v>1102.69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4916.4799999999996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221.24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231.2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109.03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502.2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330.4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297.36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1691.43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6607.9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/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132</v>
      </c>
      <c r="C2" s="300"/>
      <c r="D2" s="300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2342.15</v>
      </c>
    </row>
    <row r="7" spans="1:4" s="13" customFormat="1" x14ac:dyDescent="0.2">
      <c r="A7" s="299"/>
      <c r="B7" s="16" t="s">
        <v>9</v>
      </c>
      <c r="C7" s="15"/>
      <c r="D7" s="94">
        <f>30%*D6</f>
        <v>702.64499999999998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3044.8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IF(22*2*7.5-6%*D6&lt;0,0,22*2*7.5-6%*D6)</f>
        <v>189.471</v>
      </c>
    </row>
    <row r="17" spans="1:8" ht="13.5" customHeight="1" x14ac:dyDescent="0.2">
      <c r="A17" s="301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700.79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45.67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30.45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6.09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76.12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243.58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91.34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18.27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511.52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253.63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253.63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42.61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296.24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0.61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0.09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0.7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25.38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2.04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12.18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47.36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7.95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97.44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192.35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84.55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0.85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0.34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0.85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0.64</v>
      </c>
    </row>
    <row r="66" spans="1:4" ht="11.45" customHeight="1" x14ac:dyDescent="0.2">
      <c r="A66" s="299"/>
      <c r="B66" s="18" t="s">
        <v>37</v>
      </c>
      <c r="C66" s="55">
        <f>SUM(C60:C65)</f>
        <v>2.8649399999999998E-2</v>
      </c>
      <c r="D66" s="30">
        <f t="shared" si="2"/>
        <v>87.23</v>
      </c>
    </row>
    <row r="67" spans="1:4" ht="11.45" customHeight="1" x14ac:dyDescent="0.2">
      <c r="A67" s="299"/>
      <c r="B67" s="47" t="s">
        <v>55</v>
      </c>
      <c r="C67" s="55">
        <f>C66*C40</f>
        <v>4.8130992000000004E-3</v>
      </c>
      <c r="D67" s="54">
        <f t="shared" si="2"/>
        <v>14.65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3.3462499199999995E-2</v>
      </c>
      <c r="D68" s="40">
        <f>IF($D$14="","ARRED(SOMA(D71:D72);2)",ROUND(SUM(D66:D67),2))</f>
        <v>101.88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511.52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296.24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0.7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192.35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3.3462499199999995E-2</v>
      </c>
      <c r="D75" s="62">
        <f>D68</f>
        <v>101.88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0.36215699920000005</v>
      </c>
      <c r="D76" s="64">
        <f>IF($D$14="","SOMA(D76:D80)",SUM(D71:D75))</f>
        <v>1102.69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4916.4799999999996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221.24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231.2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109.03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502.2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330.4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297.36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1691.43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6607.9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/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133</v>
      </c>
      <c r="C2" s="300"/>
      <c r="D2" s="300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2342.15</v>
      </c>
    </row>
    <row r="7" spans="1:4" s="13" customFormat="1" x14ac:dyDescent="0.2">
      <c r="A7" s="299"/>
      <c r="B7" s="16" t="s">
        <v>9</v>
      </c>
      <c r="C7" s="15"/>
      <c r="D7" s="94">
        <f>30%*D6</f>
        <v>702.64499999999998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3044.8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IF(22*2*7.5-6%*D6&lt;0,0,22*2*7.5-6%*D6)</f>
        <v>189.471</v>
      </c>
    </row>
    <row r="17" spans="1:8" ht="13.5" customHeight="1" x14ac:dyDescent="0.2">
      <c r="A17" s="301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700.79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45.67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30.45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6.09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76.12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243.58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91.34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18.27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511.52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253.63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253.63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42.61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296.24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0.61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0.09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0.7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25.38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2.04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12.18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47.36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7.95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97.44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192.35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84.55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0.85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0.34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0.85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0.64</v>
      </c>
    </row>
    <row r="66" spans="1:4" ht="11.45" customHeight="1" x14ac:dyDescent="0.2">
      <c r="A66" s="299"/>
      <c r="B66" s="18" t="s">
        <v>37</v>
      </c>
      <c r="C66" s="55">
        <f>SUM(C60:C65)</f>
        <v>2.8649399999999998E-2</v>
      </c>
      <c r="D66" s="30">
        <f t="shared" si="2"/>
        <v>87.23</v>
      </c>
    </row>
    <row r="67" spans="1:4" ht="11.45" customHeight="1" x14ac:dyDescent="0.2">
      <c r="A67" s="299"/>
      <c r="B67" s="47" t="s">
        <v>55</v>
      </c>
      <c r="C67" s="55">
        <f>C66*C40</f>
        <v>4.8130992000000004E-3</v>
      </c>
      <c r="D67" s="54">
        <f t="shared" si="2"/>
        <v>14.65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3.3462499199999995E-2</v>
      </c>
      <c r="D68" s="40">
        <f>IF($D$14="","ARRED(SOMA(D71:D72);2)",ROUND(SUM(D66:D67),2))</f>
        <v>101.88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511.52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296.24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0.7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192.35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3.3462499199999995E-2</v>
      </c>
      <c r="D75" s="62">
        <f>D68</f>
        <v>101.88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0.36215699920000005</v>
      </c>
      <c r="D76" s="64">
        <f>IF($D$14="","SOMA(D76:D80)",SUM(D71:D75))</f>
        <v>1102.69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4916.4799999999996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221.24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231.2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109.03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502.2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330.4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297.36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1691.43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6607.9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/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300" t="s">
        <v>134</v>
      </c>
      <c r="C2" s="300"/>
      <c r="D2" s="300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5" t="s">
        <v>5</v>
      </c>
      <c r="B5" s="295"/>
      <c r="C5" s="11" t="s">
        <v>6</v>
      </c>
      <c r="D5" s="12" t="s">
        <v>7</v>
      </c>
    </row>
    <row r="6" spans="1:4" s="13" customFormat="1" ht="11.45" customHeight="1" x14ac:dyDescent="0.2">
      <c r="A6" s="299"/>
      <c r="B6" s="14" t="s">
        <v>8</v>
      </c>
      <c r="C6" s="15"/>
      <c r="D6" s="94">
        <v>1156.0899999999999</v>
      </c>
    </row>
    <row r="7" spans="1:4" s="13" customFormat="1" x14ac:dyDescent="0.2">
      <c r="A7" s="299"/>
      <c r="B7" s="16" t="s">
        <v>9</v>
      </c>
      <c r="C7" s="15"/>
      <c r="D7" s="94">
        <f>30%*D6</f>
        <v>346.82699999999994</v>
      </c>
    </row>
    <row r="8" spans="1:4" s="13" customFormat="1" ht="11.45" customHeight="1" x14ac:dyDescent="0.2">
      <c r="A8" s="299"/>
      <c r="B8" s="14" t="s">
        <v>10</v>
      </c>
      <c r="C8" s="17">
        <v>0</v>
      </c>
      <c r="D8" s="94"/>
    </row>
    <row r="9" spans="1:4" s="13" customFormat="1" ht="11.45" customHeight="1" x14ac:dyDescent="0.2">
      <c r="A9" s="299"/>
      <c r="B9" s="14" t="s">
        <v>11</v>
      </c>
      <c r="C9" s="17"/>
      <c r="D9" s="94"/>
    </row>
    <row r="10" spans="1:4" s="13" customFormat="1" ht="11.45" customHeight="1" x14ac:dyDescent="0.2">
      <c r="A10" s="299"/>
      <c r="B10" s="14" t="s">
        <v>12</v>
      </c>
      <c r="C10" s="17"/>
      <c r="D10" s="94"/>
    </row>
    <row r="11" spans="1:4" s="13" customFormat="1" ht="11.45" customHeight="1" x14ac:dyDescent="0.2">
      <c r="A11" s="299"/>
      <c r="B11" s="14" t="s">
        <v>13</v>
      </c>
      <c r="C11" s="17"/>
      <c r="D11" s="94"/>
    </row>
    <row r="12" spans="1:4" s="13" customFormat="1" ht="11.45" customHeight="1" x14ac:dyDescent="0.2">
      <c r="A12" s="299"/>
      <c r="B12" s="14" t="s">
        <v>14</v>
      </c>
      <c r="C12" s="17"/>
      <c r="D12" s="94"/>
    </row>
    <row r="13" spans="1:4" s="13" customFormat="1" ht="11.45" customHeight="1" x14ac:dyDescent="0.2">
      <c r="A13" s="299"/>
      <c r="B13" s="14" t="s">
        <v>15</v>
      </c>
      <c r="C13" s="17"/>
      <c r="D13" s="94"/>
    </row>
    <row r="14" spans="1:4" s="21" customFormat="1" x14ac:dyDescent="0.2">
      <c r="A14" s="299"/>
      <c r="B14" s="18" t="s">
        <v>16</v>
      </c>
      <c r="C14" s="19"/>
      <c r="D14" s="20">
        <f>ROUND(SUM(D6:D13),2)</f>
        <v>1502.92</v>
      </c>
    </row>
    <row r="15" spans="1:4" ht="13.5" customHeight="1" x14ac:dyDescent="0.2">
      <c r="A15" s="295" t="s">
        <v>156</v>
      </c>
      <c r="B15" s="295"/>
      <c r="C15" s="22"/>
      <c r="D15" s="22"/>
    </row>
    <row r="16" spans="1:4" ht="13.5" customHeight="1" x14ac:dyDescent="0.2">
      <c r="A16" s="301"/>
      <c r="B16" s="23" t="s">
        <v>144</v>
      </c>
      <c r="C16" s="15"/>
      <c r="D16" s="24">
        <f>IF(22*2*7.5-6%*D6&lt;0,0,22*2*7.5-6%*D6)</f>
        <v>260.63459999999998</v>
      </c>
    </row>
    <row r="17" spans="1:8" ht="13.5" customHeight="1" x14ac:dyDescent="0.2">
      <c r="A17" s="301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301"/>
      <c r="B18" s="25" t="s">
        <v>17</v>
      </c>
      <c r="C18" s="15"/>
      <c r="D18" s="24"/>
    </row>
    <row r="19" spans="1:8" ht="13.5" customHeight="1" x14ac:dyDescent="0.2">
      <c r="A19" s="301"/>
      <c r="B19" s="14" t="s">
        <v>146</v>
      </c>
      <c r="C19" s="15"/>
      <c r="D19" s="24"/>
    </row>
    <row r="20" spans="1:8" ht="13.5" customHeight="1" x14ac:dyDescent="0.2">
      <c r="A20" s="301"/>
      <c r="B20" s="23" t="s">
        <v>155</v>
      </c>
      <c r="C20" s="15"/>
      <c r="D20" s="24">
        <v>18.2</v>
      </c>
    </row>
    <row r="21" spans="1:8" ht="13.5" customHeight="1" x14ac:dyDescent="0.2">
      <c r="A21" s="301"/>
      <c r="B21" s="23" t="s">
        <v>148</v>
      </c>
      <c r="C21" s="15"/>
      <c r="D21" s="24">
        <v>6.48</v>
      </c>
    </row>
    <row r="22" spans="1:8" ht="13.5" customHeight="1" x14ac:dyDescent="0.2">
      <c r="A22" s="301"/>
      <c r="B22" s="18" t="s">
        <v>18</v>
      </c>
      <c r="C22" s="15"/>
      <c r="D22" s="20">
        <f>ROUND(SUM(D16:D21),2)</f>
        <v>771.95</v>
      </c>
    </row>
    <row r="23" spans="1:8" ht="13.5" customHeight="1" x14ac:dyDescent="0.2">
      <c r="A23" s="295" t="s">
        <v>19</v>
      </c>
      <c r="B23" s="295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2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2"/>
      <c r="B26" s="14" t="s">
        <v>20</v>
      </c>
      <c r="C26" s="15"/>
      <c r="D26" s="24"/>
    </row>
    <row r="27" spans="1:8" ht="13.5" customHeight="1" x14ac:dyDescent="0.2">
      <c r="A27" s="302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2"/>
      <c r="B28" s="14" t="s">
        <v>21</v>
      </c>
      <c r="C28" s="15"/>
      <c r="D28" s="24"/>
    </row>
    <row r="29" spans="1:8" ht="13.5" customHeight="1" x14ac:dyDescent="0.2">
      <c r="A29" s="302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5" t="s">
        <v>23</v>
      </c>
      <c r="B30" s="295"/>
      <c r="C30" s="26"/>
      <c r="D30" s="22"/>
    </row>
    <row r="31" spans="1:8" x14ac:dyDescent="0.2">
      <c r="A31" s="298" t="s">
        <v>24</v>
      </c>
      <c r="B31" s="298"/>
      <c r="C31" s="32" t="s">
        <v>6</v>
      </c>
      <c r="D31" s="33" t="s">
        <v>25</v>
      </c>
    </row>
    <row r="32" spans="1:8" ht="11.45" customHeight="1" x14ac:dyDescent="0.2">
      <c r="A32" s="299"/>
      <c r="B32" s="230" t="s">
        <v>26</v>
      </c>
      <c r="C32" s="231">
        <v>0</v>
      </c>
      <c r="D32" s="232">
        <f>ROUND(C32*D$14,2)</f>
        <v>0</v>
      </c>
    </row>
    <row r="33" spans="1:4" ht="11.45" customHeight="1" x14ac:dyDescent="0.2">
      <c r="A33" s="299"/>
      <c r="B33" s="14" t="s">
        <v>27</v>
      </c>
      <c r="C33" s="34">
        <v>1.4999999999999999E-2</v>
      </c>
      <c r="D33" s="35">
        <f t="shared" ref="D33:D39" si="0">ROUND(C33*D$14,2)</f>
        <v>22.54</v>
      </c>
    </row>
    <row r="34" spans="1:4" ht="11.45" customHeight="1" x14ac:dyDescent="0.2">
      <c r="A34" s="299"/>
      <c r="B34" s="14" t="s">
        <v>28</v>
      </c>
      <c r="C34" s="34">
        <v>0.01</v>
      </c>
      <c r="D34" s="35">
        <f t="shared" si="0"/>
        <v>15.03</v>
      </c>
    </row>
    <row r="35" spans="1:4" ht="11.45" customHeight="1" x14ac:dyDescent="0.2">
      <c r="A35" s="299"/>
      <c r="B35" s="14" t="s">
        <v>29</v>
      </c>
      <c r="C35" s="34">
        <v>2E-3</v>
      </c>
      <c r="D35" s="35">
        <f t="shared" si="0"/>
        <v>3.01</v>
      </c>
    </row>
    <row r="36" spans="1:4" ht="11.45" customHeight="1" x14ac:dyDescent="0.2">
      <c r="A36" s="299"/>
      <c r="B36" s="14" t="s">
        <v>30</v>
      </c>
      <c r="C36" s="34">
        <v>2.5000000000000001E-2</v>
      </c>
      <c r="D36" s="35">
        <f t="shared" si="0"/>
        <v>37.57</v>
      </c>
    </row>
    <row r="37" spans="1:4" ht="11.45" customHeight="1" x14ac:dyDescent="0.2">
      <c r="A37" s="299"/>
      <c r="B37" s="14" t="s">
        <v>31</v>
      </c>
      <c r="C37" s="34">
        <v>0.08</v>
      </c>
      <c r="D37" s="35">
        <f t="shared" si="0"/>
        <v>120.23</v>
      </c>
    </row>
    <row r="38" spans="1:4" x14ac:dyDescent="0.2">
      <c r="A38" s="299"/>
      <c r="B38" s="16" t="s">
        <v>32</v>
      </c>
      <c r="C38" s="36">
        <v>0.03</v>
      </c>
      <c r="D38" s="35">
        <f t="shared" si="0"/>
        <v>45.09</v>
      </c>
    </row>
    <row r="39" spans="1:4" ht="12" customHeight="1" x14ac:dyDescent="0.2">
      <c r="A39" s="299"/>
      <c r="B39" s="14" t="s">
        <v>33</v>
      </c>
      <c r="C39" s="37">
        <v>6.0000000000000001E-3</v>
      </c>
      <c r="D39" s="35">
        <f t="shared" si="0"/>
        <v>9.02</v>
      </c>
    </row>
    <row r="40" spans="1:4" s="41" customFormat="1" ht="13.9" customHeight="1" x14ac:dyDescent="0.2">
      <c r="A40" s="299"/>
      <c r="B40" s="38" t="s">
        <v>34</v>
      </c>
      <c r="C40" s="39">
        <f>IF($D$14="","SOMA(C35:C42)",SUM(C32:C39))</f>
        <v>0.16800000000000001</v>
      </c>
      <c r="D40" s="40">
        <f>ROUND(SUM(D32:D39),2)</f>
        <v>252.49</v>
      </c>
    </row>
    <row r="41" spans="1:4" x14ac:dyDescent="0.2">
      <c r="A41" s="298" t="s">
        <v>35</v>
      </c>
      <c r="B41" s="298"/>
      <c r="C41" s="42" t="s">
        <v>6</v>
      </c>
      <c r="D41" s="43" t="s">
        <v>25</v>
      </c>
    </row>
    <row r="42" spans="1:4" ht="11.45" customHeight="1" x14ac:dyDescent="0.2">
      <c r="A42" s="299"/>
      <c r="B42" s="14" t="s">
        <v>36</v>
      </c>
      <c r="C42" s="44">
        <v>8.3299999999999999E-2</v>
      </c>
      <c r="D42" s="35">
        <f>ROUND(C42*D$14,2)</f>
        <v>125.19</v>
      </c>
    </row>
    <row r="43" spans="1:4" ht="11.45" customHeight="1" x14ac:dyDescent="0.2">
      <c r="A43" s="299"/>
      <c r="B43" s="18" t="s">
        <v>37</v>
      </c>
      <c r="C43" s="45">
        <f>ROUND(SUM(C42:C42),5)</f>
        <v>8.3299999999999999E-2</v>
      </c>
      <c r="D43" s="46">
        <f>ROUND(SUM(D42:D42),2)</f>
        <v>125.19</v>
      </c>
    </row>
    <row r="44" spans="1:4" ht="11.45" customHeight="1" x14ac:dyDescent="0.2">
      <c r="A44" s="299"/>
      <c r="B44" s="47" t="s">
        <v>38</v>
      </c>
      <c r="C44" s="44">
        <f>C40*C43</f>
        <v>1.3994400000000001E-2</v>
      </c>
      <c r="D44" s="48">
        <f>ROUND(C44*D14,2)</f>
        <v>21.03</v>
      </c>
    </row>
    <row r="45" spans="1:4" ht="11.45" customHeight="1" x14ac:dyDescent="0.2">
      <c r="A45" s="299"/>
      <c r="B45" s="47"/>
      <c r="C45" s="44"/>
      <c r="D45" s="49"/>
    </row>
    <row r="46" spans="1:4" ht="11.45" customHeight="1" x14ac:dyDescent="0.2">
      <c r="A46" s="299"/>
      <c r="B46" s="38" t="s">
        <v>34</v>
      </c>
      <c r="C46" s="39">
        <f>IF($D$14="","SOMA(C48:C49)",SUM(C43:C44))</f>
        <v>9.7294400000000003E-2</v>
      </c>
      <c r="D46" s="40">
        <f>ROUND(SUM(D43:D45),2)</f>
        <v>146.22</v>
      </c>
    </row>
    <row r="47" spans="1:4" ht="11.45" customHeight="1" x14ac:dyDescent="0.2">
      <c r="A47" s="298" t="s">
        <v>39</v>
      </c>
      <c r="B47" s="298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0.3</v>
      </c>
    </row>
    <row r="49" spans="1:4" ht="11.45" customHeight="1" x14ac:dyDescent="0.2">
      <c r="A49" s="50"/>
      <c r="B49" s="47" t="s">
        <v>41</v>
      </c>
      <c r="C49" s="53">
        <f>ROUND(C40*C48,5)</f>
        <v>3.0000000000000001E-5</v>
      </c>
      <c r="D49" s="35">
        <f>ROUND(C49*D$14,2)</f>
        <v>0.05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2.3000000000000001E-4</v>
      </c>
      <c r="D50" s="40">
        <f>ROUND(SUM(D48:D49),2)</f>
        <v>0.35</v>
      </c>
    </row>
    <row r="51" spans="1:4" ht="11.45" customHeight="1" x14ac:dyDescent="0.2">
      <c r="A51" s="298" t="s">
        <v>42</v>
      </c>
      <c r="B51" s="298"/>
      <c r="C51" s="42" t="s">
        <v>6</v>
      </c>
      <c r="D51" s="43" t="s">
        <v>25</v>
      </c>
    </row>
    <row r="52" spans="1:4" ht="11.45" customHeight="1" x14ac:dyDescent="0.2">
      <c r="A52" s="299"/>
      <c r="B52" s="14" t="s">
        <v>43</v>
      </c>
      <c r="C52" s="37">
        <v>8.3351999999999992E-3</v>
      </c>
      <c r="D52" s="48">
        <f t="shared" ref="D52:D57" si="1">ROUND(C52*D$14,2)</f>
        <v>12.53</v>
      </c>
    </row>
    <row r="53" spans="1:4" ht="11.45" customHeight="1" x14ac:dyDescent="0.2">
      <c r="A53" s="299"/>
      <c r="B53" s="47" t="s">
        <v>44</v>
      </c>
      <c r="C53" s="37">
        <f>ROUND(C52*C$37,5)</f>
        <v>6.7000000000000002E-4</v>
      </c>
      <c r="D53" s="48">
        <f t="shared" si="1"/>
        <v>1.01</v>
      </c>
    </row>
    <row r="54" spans="1:4" ht="11.45" customHeight="1" x14ac:dyDescent="0.2">
      <c r="A54" s="299"/>
      <c r="B54" s="14" t="s">
        <v>45</v>
      </c>
      <c r="C54" s="53">
        <v>3.9991000000000002E-3</v>
      </c>
      <c r="D54" s="48">
        <f t="shared" si="1"/>
        <v>6.01</v>
      </c>
    </row>
    <row r="55" spans="1:4" ht="11.45" customHeight="1" x14ac:dyDescent="0.2">
      <c r="A55" s="299"/>
      <c r="B55" s="14" t="s">
        <v>46</v>
      </c>
      <c r="C55" s="53">
        <v>1.5555100000000001E-2</v>
      </c>
      <c r="D55" s="48">
        <f t="shared" si="1"/>
        <v>23.38</v>
      </c>
    </row>
    <row r="56" spans="1:4" ht="11.45" customHeight="1" x14ac:dyDescent="0.2">
      <c r="A56" s="299"/>
      <c r="B56" s="47" t="s">
        <v>47</v>
      </c>
      <c r="C56" s="53">
        <f>ROUND(C55*C$40,5)</f>
        <v>2.6099999999999999E-3</v>
      </c>
      <c r="D56" s="48">
        <f t="shared" si="1"/>
        <v>3.92</v>
      </c>
    </row>
    <row r="57" spans="1:4" ht="11.45" customHeight="1" x14ac:dyDescent="0.2">
      <c r="A57" s="299"/>
      <c r="B57" s="51" t="s">
        <v>48</v>
      </c>
      <c r="C57" s="53">
        <v>3.20007E-2</v>
      </c>
      <c r="D57" s="48">
        <f t="shared" si="1"/>
        <v>48.09</v>
      </c>
    </row>
    <row r="58" spans="1:4" ht="11.45" customHeight="1" x14ac:dyDescent="0.2">
      <c r="A58" s="299"/>
      <c r="B58" s="38" t="s">
        <v>34</v>
      </c>
      <c r="C58" s="39">
        <f>IF($D$14="","SOMA(C57:C62)",SUM(C52:C57))</f>
        <v>6.3170100000000007E-2</v>
      </c>
      <c r="D58" s="40">
        <f>ROUND(SUM(D52:D57),2)</f>
        <v>94.94</v>
      </c>
    </row>
    <row r="59" spans="1:4" ht="11.45" customHeight="1" x14ac:dyDescent="0.2">
      <c r="A59" s="298" t="s">
        <v>49</v>
      </c>
      <c r="B59" s="298"/>
      <c r="C59" s="42" t="s">
        <v>6</v>
      </c>
      <c r="D59" s="43" t="s">
        <v>25</v>
      </c>
    </row>
    <row r="60" spans="1:4" ht="11.45" customHeight="1" x14ac:dyDescent="0.2">
      <c r="A60" s="299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9"/>
      <c r="B61" s="14" t="s">
        <v>50</v>
      </c>
      <c r="C61" s="52">
        <v>2.777E-2</v>
      </c>
      <c r="D61" s="54">
        <f t="shared" si="2"/>
        <v>41.74</v>
      </c>
    </row>
    <row r="62" spans="1:4" ht="11.45" customHeight="1" x14ac:dyDescent="0.2">
      <c r="A62" s="299"/>
      <c r="B62" s="14" t="s">
        <v>51</v>
      </c>
      <c r="C62" s="52">
        <v>2.7999999999999998E-4</v>
      </c>
      <c r="D62" s="54">
        <f t="shared" si="2"/>
        <v>0.42</v>
      </c>
    </row>
    <row r="63" spans="1:4" ht="11.45" customHeight="1" x14ac:dyDescent="0.2">
      <c r="A63" s="299"/>
      <c r="B63" s="14" t="s">
        <v>52</v>
      </c>
      <c r="C63" s="52">
        <v>1.1239999999999999E-4</v>
      </c>
      <c r="D63" s="54">
        <f t="shared" si="2"/>
        <v>0.17</v>
      </c>
    </row>
    <row r="64" spans="1:4" ht="11.45" customHeight="1" x14ac:dyDescent="0.2">
      <c r="A64" s="299"/>
      <c r="B64" s="14" t="s">
        <v>53</v>
      </c>
      <c r="C64" s="52">
        <v>2.7799999999999998E-4</v>
      </c>
      <c r="D64" s="54">
        <f t="shared" si="2"/>
        <v>0.42</v>
      </c>
    </row>
    <row r="65" spans="1:4" ht="11.45" customHeight="1" x14ac:dyDescent="0.2">
      <c r="A65" s="299"/>
      <c r="B65" s="14" t="s">
        <v>54</v>
      </c>
      <c r="C65" s="52">
        <v>2.0900000000000001E-4</v>
      </c>
      <c r="D65" s="54">
        <f t="shared" si="2"/>
        <v>0.31</v>
      </c>
    </row>
    <row r="66" spans="1:4" ht="11.45" customHeight="1" x14ac:dyDescent="0.2">
      <c r="A66" s="299"/>
      <c r="B66" s="18" t="s">
        <v>37</v>
      </c>
      <c r="C66" s="55">
        <f>SUM(C60:C65)</f>
        <v>2.8649399999999998E-2</v>
      </c>
      <c r="D66" s="30">
        <f t="shared" si="2"/>
        <v>43.06</v>
      </c>
    </row>
    <row r="67" spans="1:4" ht="11.45" customHeight="1" x14ac:dyDescent="0.2">
      <c r="A67" s="299"/>
      <c r="B67" s="47" t="s">
        <v>55</v>
      </c>
      <c r="C67" s="55">
        <f>C66*C40</f>
        <v>4.8130992000000004E-3</v>
      </c>
      <c r="D67" s="54">
        <f t="shared" si="2"/>
        <v>7.23</v>
      </c>
    </row>
    <row r="68" spans="1:4" ht="11.45" customHeight="1" x14ac:dyDescent="0.2">
      <c r="A68" s="299"/>
      <c r="B68" s="38" t="s">
        <v>34</v>
      </c>
      <c r="C68" s="39">
        <f>IF($D$14="","SOMA(C71:C72)",SUM(C66:C67))</f>
        <v>3.3462499199999995E-2</v>
      </c>
      <c r="D68" s="40">
        <f>IF($D$14="","ARRED(SOMA(D71:D72);2)",ROUND(SUM(D66:D67),2))</f>
        <v>50.29</v>
      </c>
    </row>
    <row r="69" spans="1:4" ht="21" customHeight="1" x14ac:dyDescent="0.2">
      <c r="A69" s="295" t="s">
        <v>56</v>
      </c>
      <c r="B69" s="295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0.16800000000000001</v>
      </c>
      <c r="D71" s="62">
        <f>D40</f>
        <v>252.49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9.7294400000000003E-2</v>
      </c>
      <c r="D72" s="62">
        <f>D46</f>
        <v>146.22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2.3000000000000001E-4</v>
      </c>
      <c r="D73" s="62">
        <f>D50</f>
        <v>0.35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6.3170100000000007E-2</v>
      </c>
      <c r="D74" s="62">
        <f>D58</f>
        <v>94.94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3.3462499199999995E-2</v>
      </c>
      <c r="D75" s="62">
        <f>D68</f>
        <v>50.29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0.36215699920000005</v>
      </c>
      <c r="D76" s="64">
        <f>IF($D$14="","SOMA(D76:D80)",SUM(D71:D75))</f>
        <v>544.29000000000008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2887.36</v>
      </c>
    </row>
    <row r="79" spans="1:4" ht="14.45" customHeight="1" x14ac:dyDescent="0.2">
      <c r="A79" s="295" t="s">
        <v>69</v>
      </c>
      <c r="B79" s="295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129.93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135.78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296" t="s">
        <v>76</v>
      </c>
      <c r="B84" s="78" t="s">
        <v>77</v>
      </c>
      <c r="C84" s="79">
        <v>1.6500000000000001E-2</v>
      </c>
      <c r="D84" s="77">
        <f>ROUND(C84*D93,2)</f>
        <v>64.03</v>
      </c>
      <c r="E84" s="73"/>
    </row>
    <row r="85" spans="1:7" ht="11.45" customHeight="1" x14ac:dyDescent="0.2">
      <c r="A85" s="297"/>
      <c r="B85" s="78" t="s">
        <v>78</v>
      </c>
      <c r="C85" s="80">
        <v>7.5999999999999998E-2</v>
      </c>
      <c r="D85" s="77">
        <f>ROUND(C85*D93,2)</f>
        <v>294.93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194.04</v>
      </c>
    </row>
    <row r="88" spans="1:7" x14ac:dyDescent="0.2">
      <c r="A88" s="144" t="s">
        <v>83</v>
      </c>
      <c r="B88" s="51" t="s">
        <v>84</v>
      </c>
      <c r="C88" s="79">
        <v>4.4999999999999998E-2</v>
      </c>
      <c r="D88" s="35">
        <f t="shared" si="3"/>
        <v>174.63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0.27749999999999997</v>
      </c>
      <c r="D90" s="82">
        <f>ROUND(SUM(D81:D88),2)</f>
        <v>993.34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3880.7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31</vt:i4>
      </vt:variant>
    </vt:vector>
  </HeadingPairs>
  <TitlesOfParts>
    <vt:vector size="50" baseType="lpstr">
      <vt:lpstr>Adicional Noturno </vt:lpstr>
      <vt:lpstr>Uniformes-EPIs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Resumo</vt:lpstr>
      <vt:lpstr>RESUMO GERAL</vt:lpstr>
      <vt:lpstr>COMPARATIVO CT20140042</vt:lpstr>
      <vt:lpstr>'Adicional Noturno '!Area_de_impressao</vt:lpstr>
      <vt:lpstr>'Item 1'!Area_de_impressao</vt:lpstr>
      <vt:lpstr>'Item 10'!Area_de_impressao</vt:lpstr>
      <vt:lpstr>'Item 11'!Area_de_impressao</vt:lpstr>
      <vt:lpstr>'Item 12'!Area_de_impressao</vt:lpstr>
      <vt:lpstr>'Item 13'!Area_de_impressao</vt:lpstr>
      <vt:lpstr>'Item 14'!Area_de_impressao</vt:lpstr>
      <vt:lpstr>'Item 2'!Area_de_impressao</vt:lpstr>
      <vt:lpstr>'Item 3'!Area_de_impressao</vt:lpstr>
      <vt:lpstr>'Item 4'!Area_de_impressao</vt:lpstr>
      <vt:lpstr>'Item 5'!Area_de_impressao</vt:lpstr>
      <vt:lpstr>'Item 6'!Area_de_impressao</vt:lpstr>
      <vt:lpstr>'Item 7'!Area_de_impressao</vt:lpstr>
      <vt:lpstr>'Item 8'!Area_de_impressao</vt:lpstr>
      <vt:lpstr>'Item 9'!Area_de_impressao</vt:lpstr>
      <vt:lpstr>'COMPARATIVO CT20140042'!Print_Area</vt:lpstr>
      <vt:lpstr>'Item 1'!Print_Area</vt:lpstr>
      <vt:lpstr>'Item 10'!Print_Area</vt:lpstr>
      <vt:lpstr>'Item 11'!Print_Area</vt:lpstr>
      <vt:lpstr>'Item 12'!Print_Area</vt:lpstr>
      <vt:lpstr>'Item 13'!Print_Area</vt:lpstr>
      <vt:lpstr>'Item 14'!Print_Area</vt:lpstr>
      <vt:lpstr>'Item 2'!Print_Area</vt:lpstr>
      <vt:lpstr>'Item 3'!Print_Area</vt:lpstr>
      <vt:lpstr>'Item 4'!Print_Area</vt:lpstr>
      <vt:lpstr>'Item 5'!Print_Area</vt:lpstr>
      <vt:lpstr>'Item 6'!Print_Area</vt:lpstr>
      <vt:lpstr>'Item 7'!Print_Area</vt:lpstr>
      <vt:lpstr>'Item 8'!Print_Area</vt:lpstr>
      <vt:lpstr>'Item 9'!Print_Area</vt:lpstr>
      <vt:lpstr>Resumo!Print_Area</vt:lpstr>
    </vt:vector>
  </TitlesOfParts>
  <Company>Senado Federal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Fernando Kiss Campos</cp:lastModifiedBy>
  <dcterms:created xsi:type="dcterms:W3CDTF">2018-04-09T21:11:27Z</dcterms:created>
  <dcterms:modified xsi:type="dcterms:W3CDTF">2018-09-18T19:54:39Z</dcterms:modified>
</cp:coreProperties>
</file>